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BSVzHfDP6aG11+5JYQdoOjwMI3tZEqtFqUTnicBqhn/3GkROc77MJmzIPBpUyoQYZXwRuYRrD2j4CDx5BKrJ5A==" workbookSaltValue="tIB9FNpydN9YzgawsxgT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AP15" i="20"/>
  <c r="BG15" i="11"/>
  <c r="R17" i="20"/>
  <c r="BK17" i="11"/>
  <c r="AZ9" i="11"/>
  <c r="AZ13" i="11" s="1"/>
  <c r="AP17" i="20"/>
  <c r="AZ15" i="11"/>
  <c r="AZ18" i="11" s="1"/>
  <c r="BU11" i="17"/>
  <c r="BV17" i="16"/>
  <c r="BU10" i="17"/>
  <c r="BV12" i="16"/>
  <c r="BW12" i="20"/>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B18" i="7" l="1"/>
  <c r="D18" i="12"/>
  <c r="S19" i="8"/>
  <c r="BG10" i="8"/>
  <c r="B9" i="6"/>
  <c r="AL16" i="11"/>
  <c r="C16" i="6"/>
  <c r="BE9" i="13"/>
  <c r="BJ15" i="11"/>
  <c r="BH9" i="11"/>
  <c r="AP10" i="21"/>
  <c r="BK11" i="11"/>
  <c r="X11" i="17"/>
  <c r="BK9" i="11"/>
  <c r="BK12" i="11"/>
  <c r="P17" i="17"/>
  <c r="BG10" i="11"/>
  <c r="BL9" i="11"/>
  <c r="BF11" i="11"/>
  <c r="AZ19" i="11"/>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<sst xmlns="http://schemas.openxmlformats.org/spreadsheetml/2006/main" count="2088" uniqueCount="916">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</sst>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W3yUoq+eYA//aO0nTLW8IcY7Dnqx3xNSxxrriMV5Mk4BeLuPp3QMjoBg16OUqy0wTg0bctULsASP9cJ9LdzcQ==" saltValue="U1/vBHhtHDPLmQCQDG8f1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MADRID</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91</v>
      </c>
      <c r="C9" s="403">
        <f>IF(ISNUMBER(IF(J_V="SI",Datos!I9,Datos!I9+Datos!Y9)),IF(J_V="SI",Datos!I9,Datos!I9+Datos!Y9)," - ")</f>
        <v>271254</v>
      </c>
      <c r="D9" s="404">
        <f>IF(ISNUMBER(C9/Datos!BH9),C9/Datos!BH9," - ")</f>
        <v>2980.8131868131868</v>
      </c>
      <c r="E9" s="403">
        <f>IF(ISNUMBER(IF(J_V="SI",Datos!J9,Datos!J9+Datos!Z9)),IF(J_V="SI",Datos!J9,Datos!J9+Datos!Z9)," - ")</f>
        <v>100883</v>
      </c>
      <c r="F9" s="404">
        <f>IF(ISNUMBER(E9/B9),E9/B9," - ")</f>
        <v>1108.6043956043957</v>
      </c>
      <c r="G9" s="403">
        <f>IF(ISNUMBER(IF(J_V="SI",Datos!K9,Datos!K9+Datos!AA9)),IF(J_V="SI",Datos!K9,Datos!K9+Datos!AA9)," - ")</f>
        <v>78409</v>
      </c>
      <c r="H9" s="404">
        <f>IF(ISNUMBER(G9/B9),G9/B9," - ")</f>
        <v>861.63736263736268</v>
      </c>
      <c r="I9" s="403">
        <f>IF(ISNUMBER(IF(J_V="SI",Datos!L9,Datos!L9+Datos!AB9)),IF(J_V="SI",Datos!L9,Datos!L9+Datos!AB9)," - ")</f>
        <v>295433</v>
      </c>
      <c r="J9" s="404">
        <f>IF(ISNUMBER(I9/B9),I9/B9," - ")</f>
        <v>3246.5164835164837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11</v>
      </c>
      <c r="C10" s="403">
        <f>IF(ISNUMBER(Datos!I10),Datos!I10," - ")</f>
        <v>1003</v>
      </c>
      <c r="D10" s="404">
        <f>IF(ISNUMBER(C10/Datos!BH10),C10/Datos!BH10," - ")</f>
        <v>91.181818181818187</v>
      </c>
      <c r="E10" s="403">
        <f>IF(ISNUMBER(Datos!J10),Datos!J10," - ")</f>
        <v>581</v>
      </c>
      <c r="F10" s="404">
        <f>IF(ISNUMBER(E10/B10),E10/B10," - ")</f>
        <v>52.81818181818182</v>
      </c>
      <c r="G10" s="403">
        <f>IF(ISNUMBER(Datos!K10),Datos!K10," - ")</f>
        <v>509</v>
      </c>
      <c r="H10" s="404">
        <f>IF(ISNUMBER(G10/B10),G10/B10," - ")</f>
        <v>46.272727272727273</v>
      </c>
      <c r="I10" s="403">
        <f>IF(ISNUMBER(Datos!L10),Datos!L10," - ")</f>
        <v>1074</v>
      </c>
      <c r="J10" s="404">
        <f>IF(ISNUMBER(I10/B10),I10/B10," - ")</f>
        <v>97.63636363636364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14</v>
      </c>
      <c r="C11" s="403">
        <f>IF(ISNUMBER(IF(J_V="SI",Datos!I11,Datos!I11+Datos!Y11)),IF(J_V="SI",Datos!I11,Datos!I11+Datos!Y11)," - ")</f>
        <v>6015</v>
      </c>
      <c r="D11" s="404">
        <f>IF(ISNUMBER(C11/Datos!BH11),C11/Datos!BH11," - ")</f>
        <v>429.64285714285717</v>
      </c>
      <c r="E11" s="403">
        <f>IF(ISNUMBER(IF(J_V="SI",Datos!J11,Datos!J11+Datos!Z11)),IF(J_V="SI",Datos!J11,Datos!J11+Datos!Z11)," - ")</f>
        <v>4317</v>
      </c>
      <c r="F11" s="404">
        <f>IF(ISNUMBER(E11/B11),E11/B11," - ")</f>
        <v>308.35714285714283</v>
      </c>
      <c r="G11" s="403">
        <f>IF(ISNUMBER(IF(J_V="SI",Datos!K11,Datos!K11+Datos!AA11)),IF(J_V="SI",Datos!K11,Datos!K11+Datos!AA11)," - ")</f>
        <v>4346</v>
      </c>
      <c r="H11" s="404">
        <f>IF(ISNUMBER(G11/B11),G11/B11," - ")</f>
        <v>310.42857142857144</v>
      </c>
      <c r="I11" s="403">
        <f>IF(ISNUMBER(IF(J_V="SI",Datos!L11,Datos!L11+Datos!AB11)),IF(J_V="SI",Datos!L11,Datos!L11+Datos!AB11)," - ")</f>
        <v>6022</v>
      </c>
      <c r="J11" s="404">
        <f>IF(ISNUMBER(I11/B11),I11/B11," - ")</f>
        <v>430.14285714285717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116</v>
      </c>
      <c r="C13" s="849">
        <f>SUBTOTAL(9,C8:C12)</f>
        <v>278272</v>
      </c>
      <c r="D13" s="850" t="str">
        <f>IF(ISNUMBER(C13/Datos!BI13),C13/Datos!BI13," - ")</f>
        <v xml:space="preserve"> - </v>
      </c>
      <c r="E13" s="849">
        <f>SUBTOTAL(9,E8:E12)</f>
        <v>105781</v>
      </c>
      <c r="F13" s="850">
        <f>IF(ISNUMBER(E13/B13),E13/B13," - ")</f>
        <v>911.90517241379314</v>
      </c>
      <c r="G13" s="849">
        <f>SUBTOTAL(9,G8:G12)</f>
        <v>83264</v>
      </c>
      <c r="H13" s="850">
        <f>IF(ISNUMBER(G13/B13),G13/B13," - ")</f>
        <v>717.79310344827582</v>
      </c>
      <c r="I13" s="849">
        <f>SUBTOTAL(9,I8:I12)</f>
        <v>302529</v>
      </c>
      <c r="J13" s="850">
        <f>IF(ISNUMBER(I13/B13),I13/B13," - ")</f>
        <v>2608.0086206896553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54</v>
      </c>
      <c r="C15" s="403">
        <f>IF(ISNUMBER(IF(D_I="SI",Datos!I15,Datos!I15+Datos!AC15)),IF(D_I="SI",Datos!I15,Datos!I15+Datos!AC15)," - ")</f>
        <v>39858</v>
      </c>
      <c r="D15" s="404">
        <f>IF(ISNUMBER(C15/Datos!BH15),C15/Datos!BH15," - ")</f>
        <v>738.11111111111109</v>
      </c>
      <c r="E15" s="403">
        <f>IF(ISNUMBER(IF(D_I="SI",Datos!J15,Datos!J15+Datos!AD15)),IF(D_I="SI",Datos!J15,Datos!J15+Datos!AD15)," - ")</f>
        <v>44141</v>
      </c>
      <c r="F15" s="404">
        <f>IF(ISNUMBER(E15/B15),E15/B15," - ")</f>
        <v>817.42592592592598</v>
      </c>
      <c r="G15" s="403">
        <f>IF(ISNUMBER(IF(D_I="SI",Datos!K15,Datos!K15+Datos!AE15)),IF(D_I="SI",Datos!K15,Datos!K15+Datos!AE15)," - ")</f>
        <v>46887</v>
      </c>
      <c r="H15" s="404">
        <f>IF(ISNUMBER(G15/B15),G15/B15," - ")</f>
        <v>868.27777777777783</v>
      </c>
      <c r="I15" s="403">
        <f>IF(ISNUMBER(IF(D_I="SI",Datos!L15,Datos!L15+Datos!AF15)),IF(D_I="SI",Datos!L15,Datos!L15+Datos!AF15)," - ")</f>
        <v>38416</v>
      </c>
      <c r="J15" s="404">
        <f>IF(ISNUMBER(I15/B15),I15/B15," - ")</f>
        <v>711.40740740740739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11</v>
      </c>
      <c r="C17" s="403">
        <f>IF(ISNUMBER(IF(D_I="SI",Datos!I17,Datos!I17+Datos!AC17)),IF(D_I="SI",Datos!I17,Datos!I17+Datos!AC17)," - ")</f>
        <v>3565</v>
      </c>
      <c r="D17" s="404">
        <f>IF(ISNUMBER(C17/Datos!BH17),C17/Datos!BH17," - ")</f>
        <v>324.09090909090907</v>
      </c>
      <c r="E17" s="403">
        <f>IF(ISNUMBER(IF(D_I="SI",Datos!J17,Datos!J17+Datos!AD17)),IF(D_I="SI",Datos!J17,Datos!J17+Datos!AD17)," - ")</f>
        <v>5939</v>
      </c>
      <c r="F17" s="404">
        <f>IF(ISNUMBER(E17/B17),E17/B17," - ")</f>
        <v>539.90909090909088</v>
      </c>
      <c r="G17" s="403">
        <f>IF(ISNUMBER(IF(D_I="SI",Datos!K17,Datos!K17+Datos!AE17)),IF(D_I="SI",Datos!K17,Datos!K17+Datos!AE17)," - ")</f>
        <v>6370</v>
      </c>
      <c r="H17" s="404">
        <f>IF(ISNUMBER(G17/B17),G17/B17," - ")</f>
        <v>579.09090909090912</v>
      </c>
      <c r="I17" s="403">
        <f>IF(ISNUMBER(IF(D_I="SI",Datos!L17,Datos!L17+Datos!AF17)),IF(D_I="SI",Datos!L17,Datos!L17+Datos!AF17)," - ")</f>
        <v>3333</v>
      </c>
      <c r="J17" s="404">
        <f>IF(ISNUMBER(I17/B17),I17/B17," - ")</f>
        <v>303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65</v>
      </c>
      <c r="C18" s="849">
        <f>SUBTOTAL(9,C14:C17)</f>
        <v>43423</v>
      </c>
      <c r="D18" s="850" t="str">
        <f>IF(ISNUMBER(C18/Datos!BI18),C18/Datos!BI18," - ")</f>
        <v xml:space="preserve"> - </v>
      </c>
      <c r="E18" s="849">
        <f>SUBTOTAL(9,E14:E17)</f>
        <v>50080</v>
      </c>
      <c r="F18" s="850">
        <f>IF(ISNUMBER(E18/B18),E18/B18," - ")</f>
        <v>770.46153846153845</v>
      </c>
      <c r="G18" s="849">
        <f>SUBTOTAL(9,G14:G17)</f>
        <v>53257</v>
      </c>
      <c r="H18" s="850">
        <f>IF(ISNUMBER(G18/B18),G18/B18," - ")</f>
        <v>819.3384615384615</v>
      </c>
      <c r="I18" s="849">
        <f>SUBTOTAL(9,I14:I17)</f>
        <v>41749</v>
      </c>
      <c r="J18" s="850">
        <f>IF(ISNUMBER(I18/B18),I18/B18," - ")</f>
        <v>642.29230769230765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170</v>
      </c>
      <c r="C19" s="794">
        <f>SUBTOTAL(9,C9:C18)</f>
        <v>321695</v>
      </c>
      <c r="D19" s="795" t="str">
        <f>IF(ISNUMBER(C19/Datos!BI19),C19/Datos!BI19," - ")</f>
        <v xml:space="preserve"> - </v>
      </c>
      <c r="E19" s="794">
        <f>SUBTOTAL(9,E9:E18)</f>
        <v>155861</v>
      </c>
      <c r="F19" s="795">
        <f>IF(ISNUMBER(E19/B19),E19/B19," - ")</f>
        <v>916.82941176470592</v>
      </c>
      <c r="G19" s="794">
        <f>SUBTOTAL(9,G9:G18)</f>
        <v>136521</v>
      </c>
      <c r="H19" s="795">
        <f>IF(ISNUMBER(G19/B19),G19/B19," - ")</f>
        <v>803.064705882353</v>
      </c>
      <c r="I19" s="794">
        <f>SUBTOTAL(9,I9:I18)</f>
        <v>344278</v>
      </c>
      <c r="J19" s="795">
        <f>IF(ISNUMBER(I19/B19),I19/B19," - ")</f>
        <v>2025.164705882353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FO/8/9c3Ho1kN3wmv7rYmBRHivQGpDbuGwJ+S/VRMvmv7mk5FG+1Fc7SfvmgTr1WHSKq0cU7XQZwpF24oyzLBw==" saltValue="wHhPhdwM1iGO8zPceV44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MADRID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91</v>
      </c>
      <c r="D9" s="403">
        <f>Datos!BK9</f>
        <v>0</v>
      </c>
      <c r="E9" s="403">
        <f>Datos!AQ9</f>
        <v>91</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11</v>
      </c>
      <c r="D10" s="403">
        <f>Datos!BK10</f>
        <v>0</v>
      </c>
      <c r="E10" s="403">
        <f>Datos!AQ10</f>
        <v>11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14</v>
      </c>
      <c r="D11" s="403">
        <f>Datos!BK11</f>
        <v>0</v>
      </c>
      <c r="E11" s="403">
        <f>Datos!AQ11</f>
        <v>14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54</v>
      </c>
      <c r="D15" s="403">
        <f>Datos!BK15</f>
        <v>0</v>
      </c>
      <c r="E15" s="403">
        <f>Datos!AQ15</f>
        <v>54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11</v>
      </c>
      <c r="D17" s="403">
        <f>Datos!BK17</f>
        <v>0</v>
      </c>
      <c r="E17" s="403">
        <f>Datos!AQ17</f>
        <v>11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pri5hQpNXvuvHdc7BmrY4VYHgi3FcL5lV/4TRjQjdeqsjoY2nhysysCkxxSrjL3QEwPUT3JTVvXoBLoZysgJTw==" saltValue="jXBOY1NkfOeGxbf07mmN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MADRID</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91</v>
      </c>
      <c r="C9" s="410">
        <f>Datos!AQ9</f>
        <v>91</v>
      </c>
      <c r="D9" s="403">
        <f>IF(ISNUMBER(Datos!M9),Datos!M9," - ")</f>
        <v>16927</v>
      </c>
      <c r="E9" s="404">
        <f t="shared" ref="E9:E13" si="0">IF(ISNUMBER(D9/B9),D9/B9," - ")</f>
        <v>186.01098901098902</v>
      </c>
      <c r="F9" s="403">
        <f>IF(ISNUMBER(Datos!N9),Datos!N9," - ")</f>
        <v>44075</v>
      </c>
      <c r="G9" s="404">
        <f t="shared" ref="G9:G13" si="1">IF(ISNUMBER(F9/B9),F9/B9," - ")</f>
        <v>484.34065934065933</v>
      </c>
      <c r="H9" s="403">
        <f>IF(ISNUMBER(Datos!O9),Datos!O9," - ")</f>
        <v>21603</v>
      </c>
      <c r="I9" s="404">
        <f>IF(ISNUMBER(H9/B9),H9/B9," - ")</f>
        <v>237.39560439560441</v>
      </c>
      <c r="BZ9" s="1186">
        <f>Datos!EZ9</f>
        <v>0</v>
      </c>
    </row>
    <row r="10" spans="1:78">
      <c r="A10" s="402" t="str">
        <f>Datos!A10</f>
        <v>Jdos. Violencia contra la mujer</v>
      </c>
      <c r="B10" s="427">
        <f>Datos!AO10</f>
        <v>11</v>
      </c>
      <c r="C10" s="410">
        <f>Datos!AQ10</f>
        <v>11</v>
      </c>
      <c r="D10" s="403">
        <f>IF(ISNUMBER(Datos!M10),Datos!M10," - ")</f>
        <v>188</v>
      </c>
      <c r="E10" s="404">
        <f>IF(ISNUMBER(D10/B10),D10/B10," - ")</f>
        <v>17.09090909090909</v>
      </c>
      <c r="F10" s="403">
        <f>IF(ISNUMBER(Datos!N10),Datos!N10," - ")</f>
        <v>225</v>
      </c>
      <c r="G10" s="404">
        <f>IF(ISNUMBER(F10/B10),F10/B10," - ")</f>
        <v>20.454545454545453</v>
      </c>
      <c r="H10" s="403">
        <f>IF(ISNUMBER(Datos!O10),Datos!O10," - ")</f>
        <v>60</v>
      </c>
      <c r="I10" s="404">
        <f t="shared" ref="I10:I12" si="2">IF(ISNUMBER(H10/B10),H10/B10," - ")</f>
        <v>5.4545454545454541</v>
      </c>
      <c r="BZ10" s="1186">
        <f>Datos!EZ10</f>
        <v>0</v>
      </c>
    </row>
    <row r="11" spans="1:78">
      <c r="A11" s="402" t="str">
        <f>Datos!A11</f>
        <v xml:space="preserve">Jdos. Familia                                   </v>
      </c>
      <c r="B11" s="427">
        <f>Datos!AO11</f>
        <v>14</v>
      </c>
      <c r="C11" s="410">
        <f>Datos!AQ11</f>
        <v>14</v>
      </c>
      <c r="D11" s="403">
        <f>IF(ISNUMBER(Datos!M11),Datos!M11," - ")</f>
        <v>1910</v>
      </c>
      <c r="E11" s="404">
        <f t="shared" si="0"/>
        <v>136.42857142857142</v>
      </c>
      <c r="F11" s="403">
        <f>IF(ISNUMBER(Datos!N11),Datos!N11," - ")</f>
        <v>1349</v>
      </c>
      <c r="G11" s="404">
        <f t="shared" si="1"/>
        <v>96.357142857142861</v>
      </c>
      <c r="H11" s="403">
        <f>IF(ISNUMBER(Datos!O11),Datos!O11," - ")</f>
        <v>1213</v>
      </c>
      <c r="I11" s="404">
        <f t="shared" si="2"/>
        <v>86.642857142857139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116</v>
      </c>
      <c r="C13" s="851">
        <f>Datos!AR13</f>
        <v>116</v>
      </c>
      <c r="D13" s="849">
        <f>SUBTOTAL(9,D9:D12)</f>
        <v>19025</v>
      </c>
      <c r="E13" s="850">
        <f t="shared" si="0"/>
        <v>164.00862068965517</v>
      </c>
      <c r="F13" s="849">
        <f>SUBTOTAL(9,F9:F12)</f>
        <v>45649</v>
      </c>
      <c r="G13" s="850">
        <f t="shared" si="1"/>
        <v>393.52586206896552</v>
      </c>
      <c r="H13" s="849">
        <f>SUBTOTAL(9,H9:H12)</f>
        <v>22876</v>
      </c>
      <c r="I13" s="850">
        <f>IF(ISNUMBER(H13/B13),H13/B13," - ")</f>
        <v>197.20689655172413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54</v>
      </c>
      <c r="C15" s="428">
        <f>Datos!AQ15</f>
        <v>54</v>
      </c>
      <c r="D15" s="403">
        <f>IF(ISNUMBER(Datos!M15),Datos!M15," - ")</f>
        <v>6806</v>
      </c>
      <c r="E15" s="404">
        <f t="shared" ref="E15:E18" si="3">IF(ISNUMBER(D15/B15),D15/B15," - ")</f>
        <v>126.03703703703704</v>
      </c>
      <c r="F15" s="403">
        <f>IF(ISNUMBER(Datos!N15),Datos!N15," - ")</f>
        <v>25058</v>
      </c>
      <c r="G15" s="404">
        <f t="shared" ref="G15:G18" si="4">IF(ISNUMBER(F15/B15),F15/B15," - ")</f>
        <v>464.03703703703701</v>
      </c>
      <c r="H15" s="403">
        <f>IF(ISNUMBER(Datos!O15),Datos!O15," - ")</f>
        <v>1750</v>
      </c>
      <c r="I15" s="404">
        <f t="shared" ref="I15:I17" si="5">IF(ISNUMBER(H15/B15),H15/B15," - ")</f>
        <v>32.407407407407405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11</v>
      </c>
      <c r="C17" s="428">
        <f>Datos!AQ17</f>
        <v>11</v>
      </c>
      <c r="D17" s="403">
        <f>IF(ISNUMBER(Datos!M17),Datos!M17," - ")</f>
        <v>83</v>
      </c>
      <c r="E17" s="404">
        <f>IF(ISNUMBER(D17/B17),D17/B17," - ")</f>
        <v>7.5454545454545459</v>
      </c>
      <c r="F17" s="403">
        <f>IF(ISNUMBER(Datos!N17),Datos!N17," - ")</f>
        <v>4401</v>
      </c>
      <c r="G17" s="404">
        <f>IF(ISNUMBER(F17/B17),F17/B17," - ")</f>
        <v>400.09090909090907</v>
      </c>
      <c r="H17" s="403">
        <f>IF(ISNUMBER(Datos!O17),Datos!O17," - ")</f>
        <v>3</v>
      </c>
      <c r="I17" s="404">
        <f t="shared" si="5"/>
        <v>0.27272727272727271</v>
      </c>
      <c r="BZ17" s="1186">
        <f>Datos!EZ17</f>
        <v>0</v>
      </c>
    </row>
    <row r="18" spans="1:78" ht="14.25" thickTop="1" thickBot="1">
      <c r="A18" s="848" t="str">
        <f>Datos!A18</f>
        <v>TOTAL</v>
      </c>
      <c r="B18" s="849">
        <f>Datos!AP18</f>
        <v>65</v>
      </c>
      <c r="C18" s="851">
        <f>Datos!AR18</f>
        <v>65</v>
      </c>
      <c r="D18" s="849">
        <f>SUBTOTAL(9,D15:D17)</f>
        <v>6889</v>
      </c>
      <c r="E18" s="850">
        <f t="shared" si="3"/>
        <v>105.98461538461538</v>
      </c>
      <c r="F18" s="849">
        <f>SUBTOTAL(9,F15:F17)</f>
        <v>29459</v>
      </c>
      <c r="G18" s="850">
        <f t="shared" si="4"/>
        <v>453.21538461538461</v>
      </c>
      <c r="H18" s="849">
        <f>SUBTOTAL(9,H15:H17)</f>
        <v>1753</v>
      </c>
      <c r="I18" s="850">
        <f>IF(ISNUMBER(H18/B18),H18/B18," - ")</f>
        <v>26.969230769230769</v>
      </c>
      <c r="BZ18" s="1186"/>
    </row>
    <row r="19" spans="1:78" ht="14.25" thickTop="1" thickBot="1">
      <c r="A19" s="793" t="str">
        <f>Datos!A19</f>
        <v>TOTAL JURISDICCIONES</v>
      </c>
      <c r="B19" s="794">
        <f>Datos!AP19</f>
        <v>170</v>
      </c>
      <c r="C19" s="794">
        <f>Datos!AR19</f>
        <v>170</v>
      </c>
      <c r="D19" s="794">
        <f>SUBTOTAL(9,D8:D18)</f>
        <v>25914</v>
      </c>
      <c r="E19" s="795">
        <f>IF(ISNUMBER(D19/B19),D19/B19," - ")</f>
        <v>152.43529411764706</v>
      </c>
      <c r="F19" s="794">
        <f>SUBTOTAL(9,F8:F18)</f>
        <v>75108</v>
      </c>
      <c r="G19" s="795">
        <f>IF(ISNUMBER(F19/B19),F19/B19," - ")</f>
        <v>441.81176470588235</v>
      </c>
      <c r="H19" s="794">
        <f>SUBTOTAL(9,H8:H18)</f>
        <v>24629</v>
      </c>
      <c r="I19" s="795">
        <f>IF(ISNUMBER(H19/B19),H19/B19," - ")</f>
        <v>144.87647058823529</v>
      </c>
    </row>
    <row r="22" spans="1:78">
      <c r="A22" s="391" t="str">
        <f>Criterios!A4</f>
        <v>Fecha Informe: 27 feb. 2025</v>
      </c>
    </row>
    <row r="27" spans="1:78">
      <c r="A27" s="414"/>
    </row>
  </sheetData>
  <sheetProtection algorithmName="SHA-512" hashValue="POdMNT2U3j7QoEKqovWIb0PeRRNzEwxfrE6vKuBB26qn4IDqzQNy4ZKagqF6AWajv/noRfm8EdhpLcEYfCycpA==" saltValue="uRe5gsvHuiXQ4inftiS5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MADRID</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12465</v>
      </c>
      <c r="C9" s="434">
        <f>IF(ISNUMBER(Datos!Q9),Datos!Q9," - ")</f>
        <v>8800</v>
      </c>
      <c r="D9" s="408">
        <f>IF(ISNUMBER(Datos!R9),Datos!R9," - ")</f>
        <v>151800</v>
      </c>
    </row>
    <row r="10" spans="1:4">
      <c r="A10" s="402" t="str">
        <f>Datos!A10</f>
        <v>Jdos. Violencia contra la mujer</v>
      </c>
      <c r="B10" s="433">
        <f>IF(ISNUMBER(Datos!P10),Datos!P10," - ")</f>
        <v>87</v>
      </c>
      <c r="C10" s="434">
        <f>IF(ISNUMBER(Datos!Q10),Datos!Q10," - ")</f>
        <v>52</v>
      </c>
      <c r="D10" s="408">
        <f>IF(ISNUMBER(Datos!R10),Datos!R10," - ")</f>
        <v>1032</v>
      </c>
    </row>
    <row r="11" spans="1:4">
      <c r="A11" s="402" t="str">
        <f>Datos!A11</f>
        <v xml:space="preserve">Jdos. Familia                                   </v>
      </c>
      <c r="B11" s="433">
        <f>IF(ISNUMBER(Datos!P11),Datos!P11," - ")</f>
        <v>580</v>
      </c>
      <c r="C11" s="434">
        <f>IF(ISNUMBER(Datos!Q11),Datos!Q11," - ")</f>
        <v>560</v>
      </c>
      <c r="D11" s="408">
        <f>IF(ISNUMBER(Datos!R11),Datos!R11," - ")</f>
        <v>4785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13132</v>
      </c>
      <c r="C13" s="853">
        <f>SUBTOTAL(9,C9:C12)</f>
        <v>9412</v>
      </c>
      <c r="D13" s="851">
        <f>SUBTOTAL(9,D9:D12)</f>
        <v>157617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2548</v>
      </c>
      <c r="C15" s="434">
        <f>IF(ISNUMBER(Datos!Q15),Datos!Q15," - ")</f>
        <v>2664</v>
      </c>
      <c r="D15" s="408">
        <f>IF(ISNUMBER(Datos!R15),Datos!R15," - ")</f>
        <v>4127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24</v>
      </c>
      <c r="C17" s="434">
        <f>IF(ISNUMBER(Datos!Q17),Datos!Q17," - ")</f>
        <v>10</v>
      </c>
      <c r="D17" s="408">
        <f>IF(ISNUMBER(Datos!R17),Datos!R17," - ")</f>
        <v>33</v>
      </c>
    </row>
    <row r="18" spans="1:4" ht="14.25" thickTop="1" thickBot="1">
      <c r="A18" s="848" t="str">
        <f>Datos!A18</f>
        <v>TOTAL</v>
      </c>
      <c r="B18" s="849">
        <f>SUBTOTAL(9,B15:B17)</f>
        <v>2572</v>
      </c>
      <c r="C18" s="853">
        <f>SUBTOTAL(9,C15:C17)</f>
        <v>2674</v>
      </c>
      <c r="D18" s="851">
        <f>SUBTOTAL(9,D15:D17)</f>
        <v>4160</v>
      </c>
    </row>
    <row r="19" spans="1:4" ht="16.5" customHeight="1" thickTop="1" thickBot="1">
      <c r="A19" s="793" t="str">
        <f>Datos!A19</f>
        <v>TOTAL JURISDICCIONES</v>
      </c>
      <c r="B19" s="798">
        <f>SUBTOTAL(9,B8:B18)</f>
        <v>15704</v>
      </c>
      <c r="C19" s="799">
        <f>SUBTOTAL(9,C8:C18)</f>
        <v>12086</v>
      </c>
      <c r="D19" s="800">
        <f>SUBTOTAL(9,D8:D18)</f>
        <v>161777</v>
      </c>
    </row>
    <row r="20" spans="1:4" ht="7.5" customHeight="1"/>
    <row r="21" spans="1:4" ht="6" customHeight="1"/>
    <row r="22" spans="1:4">
      <c r="A22" s="391" t="str">
        <f>Criterios!A4</f>
        <v>Fecha Informe: 27 feb. 2025</v>
      </c>
    </row>
    <row r="27" spans="1:4">
      <c r="A27" s="414"/>
    </row>
  </sheetData>
  <sheetProtection algorithmName="SHA-512" hashValue="+DAo9vZkeyAC/EmBhuvq9OdPAPZSy1JceqvO8ZZeJ+Xa1aHVToxza4nLoPvJ3br4FVj+TdFf8tkWsQL5DQOETA==" saltValue="g90btNqvAzmvaCn8/2yu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MADRID</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0.23676171543729427</v>
      </c>
      <c r="C9" s="456">
        <f>IF(ISNUMBER(
   IF(J_V="SI",(Datos!J9-Datos!T9)/Datos!T9,(Datos!J9+Datos!Z9-(Datos!T9+Datos!AH9))/(Datos!T9+Datos!AH9))
     ),IF(J_V="SI",(Datos!J9-Datos!T9)/Datos!T9,(Datos!J9+Datos!Z9-(Datos!T9+Datos!AH9))/(Datos!T9+Datos!AH9))," - ")</f>
        <v>0.66317160426661392</v>
      </c>
      <c r="D9" s="456">
        <f>IF(ISNUMBER(
   IF(J_V="SI",(Datos!K9-Datos!U9)/Datos!U9,(Datos!K9+Datos!AA9-(Datos!U9+Datos!AI9))/(Datos!U9+Datos!AI9))
     ),IF(J_V="SI",(Datos!K9-Datos!U9)/Datos!U9,(Datos!K9+Datos!AA9-(Datos!U9+Datos!AI9))/(Datos!U9+Datos!AI9))," - ")</f>
        <v>0.28790591481743072</v>
      </c>
      <c r="E9" s="456">
        <f>IF(ISNUMBER(
   IF(J_V="SI",(Datos!L9-Datos!V9)/Datos!V9,(Datos!L9+Datos!AB9-(Datos!V9+Datos!AJ9))/(Datos!V9+Datos!AJ9))
     ),IF(J_V="SI",(Datos!L9-Datos!V9)/Datos!V9,(Datos!L9+Datos!AB9-(Datos!V9+Datos!AJ9))/(Datos!V9+Datos!AJ9))," - ")</f>
        <v>0.33328369053582629</v>
      </c>
      <c r="F9" s="456">
        <f>IF(ISNUMBER((Datos!M9-Datos!W9)/Datos!W9),(Datos!M9-Datos!W9)/Datos!W9," - ")</f>
        <v>0.10728069601622293</v>
      </c>
      <c r="G9" s="457">
        <f>IF(ISNUMBER((Datos!N9-Datos!X9)/Datos!X9),(Datos!N9-Datos!X9)/Datos!X9," - ")</f>
        <v>0.52161154456949532</v>
      </c>
      <c r="H9" s="455">
        <f>IF(ISNUMBER(((NºAsuntos!G9/NºAsuntos!E9)-Datos!BD9)/Datos!BD9),((NºAsuntos!G9/NºAsuntos!E9)-Datos!BD9)/Datos!BD9," - ")</f>
        <v>-0.22563257362409037</v>
      </c>
      <c r="I9" s="456">
        <f>IF(ISNUMBER(((NºAsuntos!I9/NºAsuntos!G9)-Datos!BE9)/Datos!BE9),((NºAsuntos!I9/NºAsuntos!G9)-Datos!BE9)/Datos!BE9," - ")</f>
        <v>3.523376606654384E-2</v>
      </c>
      <c r="J9" s="461">
        <f>IF(ISNUMBER((('Resol  Asuntos'!D9/NºAsuntos!G9)-Datos!BF9)/Datos!BF9),(('Resol  Asuntos'!D9/NºAsuntos!G9)-Datos!BF9)/Datos!BF9," - ")</f>
        <v>-0.54625972479315343</v>
      </c>
      <c r="K9" s="462">
        <f>IF(ISNUMBER((((NºAsuntos!C9+NºAsuntos!E9)/NºAsuntos!G9)-Datos!BG9)/Datos!BG9),(((NºAsuntos!C9+NºAsuntos!E9)/NºAsuntos!G9)-Datos!BG9)/Datos!BG9," - ")</f>
        <v>3.2017476482807568E-2</v>
      </c>
    </row>
    <row r="10" spans="1:11">
      <c r="A10" s="402" t="str">
        <f>Datos!A10</f>
        <v>Jdos. Violencia contra la mujer</v>
      </c>
      <c r="B10" s="455">
        <f>IF(ISNUMBER((Datos!I10-Datos!S10)/Datos!S10),(Datos!I10-Datos!S10)/Datos!S10," - ")</f>
        <v>0.20408163265306123</v>
      </c>
      <c r="C10" s="456">
        <f>IF(ISNUMBER((Datos!J10-Datos!T10)/Datos!T10),(Datos!J10-Datos!T10)/Datos!T10," - ")</f>
        <v>0.2309322033898305</v>
      </c>
      <c r="D10" s="456">
        <f>IF(ISNUMBER((Datos!K10-Datos!U10)/Datos!U10),(Datos!K10-Datos!U10)/Datos!U10," - ")</f>
        <v>8.5287846481876331E-2</v>
      </c>
      <c r="E10" s="456">
        <f>IF(ISNUMBER((Datos!L10-Datos!V10)/Datos!V10),(Datos!L10-Datos!V10)/Datos!V10," - ")</f>
        <v>0.30181818181818182</v>
      </c>
      <c r="F10" s="456">
        <f>IF(ISNUMBER((Datos!M10-Datos!W10)/Datos!W10),(Datos!M10-Datos!W10)/Datos!W10," - ")</f>
        <v>0.20512820512820512</v>
      </c>
      <c r="G10" s="457">
        <f>IF(ISNUMBER((Datos!N10-Datos!X10)/Datos!X10),(Datos!N10-Datos!X10)/Datos!X10," - ")</f>
        <v>1.8099547511312219E-2</v>
      </c>
      <c r="H10" s="455">
        <f>IF(ISNUMBER(((NºAsuntos!G10/NºAsuntos!E10)-Datos!BD10)/Datos!BD10),((NºAsuntos!G10/NºAsuntos!E10)-Datos!BD10)/Datos!BD10," - ")</f>
        <v>-0.11832037256549807</v>
      </c>
      <c r="I10" s="456">
        <f>IF(ISNUMBER(((NºAsuntos!I10/NºAsuntos!G10)-Datos!BE10)/Datos!BE10),((NºAsuntos!I10/NºAsuntos!G10)-Datos!BE10)/Datos!BE10," - ")</f>
        <v>0.19951419896410069</v>
      </c>
      <c r="J10" s="461">
        <f>IF(ISNUMBER((('Resol  Asuntos'!D10/NºAsuntos!G10)-Datos!BF10)/Datos!BF10),(('Resol  Asuntos'!D10/NºAsuntos!G10)-Datos!BF10)/Datos!BF10," - ")</f>
        <v>0.11042264873306126</v>
      </c>
      <c r="K10" s="462">
        <f>IF(ISNUMBER((((NºAsuntos!C10+NºAsuntos!E10)/NºAsuntos!G10)-Datos!BG10)/Datos!BG10),(((NºAsuntos!C10+NºAsuntos!E10)/NºAsuntos!G10)-Datos!BG10)/Datos!BG10," - ")</f>
        <v>0.11840661201815599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-6.7701453104359313E-3</v>
      </c>
      <c r="C11" s="456">
        <f>IF(ISNUMBER(
   IF(J_V="SI",(Datos!J11-Datos!T11)/Datos!T11,(Datos!J11+Datos!Z11-(Datos!T11+Datos!AH11))/(Datos!T11+Datos!AH11))
     ),IF(J_V="SI",(Datos!J11-Datos!T11)/Datos!T11,(Datos!J11+Datos!Z11-(Datos!T11+Datos!AH11))/(Datos!T11+Datos!AH11))," - ")</f>
        <v>0.34402241594022415</v>
      </c>
      <c r="D11" s="456">
        <f>IF(ISNUMBER(
   IF(J_V="SI",(Datos!K11-Datos!U11)/Datos!U11,(Datos!K11+Datos!AA11-(Datos!U11+Datos!AI11))/(Datos!U11+Datos!AI11))
     ),IF(J_V="SI",(Datos!K11-Datos!U11)/Datos!U11,(Datos!K11+Datos!AA11-(Datos!U11+Datos!AI11))/(Datos!U11+Datos!AI11))," - ")</f>
        <v>0.13978494623655913</v>
      </c>
      <c r="E11" s="456">
        <f>IF(ISNUMBER(
   IF(J_V="SI",(Datos!L11-Datos!V11)/Datos!V11,(Datos!L11+Datos!AB11-(Datos!V11+Datos!AJ11))/(Datos!V11+Datos!AJ11))
     ),IF(J_V="SI",(Datos!L11-Datos!V11)/Datos!V11,(Datos!L11+Datos!AB11-(Datos!V11+Datos!AJ11))/(Datos!V11+Datos!AJ11))," - ")</f>
        <v>0.10313244183916469</v>
      </c>
      <c r="F11" s="456">
        <f>IF(ISNUMBER((Datos!M11-Datos!W11)/Datos!W11),(Datos!M11-Datos!W11)/Datos!W11," - ")</f>
        <v>0.12286890064667842</v>
      </c>
      <c r="G11" s="457">
        <f>IF(ISNUMBER((Datos!N11-Datos!X11)/Datos!X11),(Datos!N11-Datos!X11)/Datos!X11," - ")</f>
        <v>5.7210031347962383E-2</v>
      </c>
      <c r="H11" s="455">
        <f>IF(ISNUMBER(((NºAsuntos!G11/NºAsuntos!E11)-Datos!BD11)/Datos!BD11),((NºAsuntos!G11/NºAsuntos!E11)-Datos!BD11)/Datos!BD11," - ")</f>
        <v>-0.15195986858655816</v>
      </c>
      <c r="I11" s="456">
        <f>IF(ISNUMBER(((NºAsuntos!I11/NºAsuntos!G11)-Datos!BE11)/Datos!BE11),((NºAsuntos!I11/NºAsuntos!G11)-Datos!BE11)/Datos!BE11," - ")</f>
        <v>-3.2157385933562987E-2</v>
      </c>
      <c r="J11" s="461">
        <f>IF(ISNUMBER((('Resol  Asuntos'!D11/NºAsuntos!G11)-Datos!BF11)/Datos!BF11),(('Resol  Asuntos'!D11/NºAsuntos!G11)-Datos!BF11)/Datos!BF11," - ")</f>
        <v>0.31328739575323822</v>
      </c>
      <c r="K11" s="462">
        <f>IF(ISNUMBER((((NºAsuntos!C11+NºAsuntos!E11)/NºAsuntos!G11)-Datos!BG11)/Datos!BG11),(((NºAsuntos!C11+NºAsuntos!E11)/NºAsuntos!G11)-Datos!BG11)/Datos!BG11," - ")</f>
        <v>-2.1917573961124141E-2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0.23012178679574741</v>
      </c>
      <c r="C13" s="855">
        <f>IF(ISNUMBER(
   IF(J_V="SI",(Datos!J13-Datos!T13)/Datos!T13,(Datos!J13+Datos!Z13-(Datos!T13+Datos!AH13))/(Datos!T13+Datos!AH13))
     ),IF(J_V="SI",(Datos!J13-Datos!T13)/Datos!T13,(Datos!J13+Datos!Z13-(Datos!T13+Datos!AH13))/(Datos!T13+Datos!AH13))," - ")</f>
        <v>0.64406832346404319</v>
      </c>
      <c r="D13" s="855">
        <f>IF(ISNUMBER(
   IF(J_V="SI",(Datos!K13-Datos!U13)/Datos!U13,(Datos!K13+Datos!AA13-(Datos!U13+Datos!AI13))/(Datos!U13+Datos!AI13))
     ),IF(J_V="SI",(Datos!K13-Datos!U13)/Datos!U13,(Datos!K13+Datos!AA13-(Datos!U13+Datos!AI13))/(Datos!U13+Datos!AI13))," - ")</f>
        <v>0.2777803354664457</v>
      </c>
      <c r="E13" s="855">
        <f>IF(ISNUMBER(
   IF(J_V="SI",(Datos!L13-Datos!V13)/Datos!V13,(Datos!L13+Datos!AB13-(Datos!V13+Datos!AJ13))/(Datos!V13+Datos!AJ13))
     ),IF(J_V="SI",(Datos!L13-Datos!V13)/Datos!V13,(Datos!L13+Datos!AB13-(Datos!V13+Datos!AJ13))/(Datos!V13+Datos!AJ13))," - ")</f>
        <v>0.32765604497360301</v>
      </c>
      <c r="F13" s="856">
        <f>IF(ISNUMBER((Datos!M13-Datos!W13)/Datos!W13),(Datos!M13-Datos!W13)/Datos!W13," - ")</f>
        <v>0.10971768548763416</v>
      </c>
      <c r="G13" s="857">
        <f>IF(ISNUMBER((Datos!N13-Datos!X13)/Datos!X13),(Datos!N13-Datos!X13)/Datos!X13," - ")</f>
        <v>0.49850638479466897</v>
      </c>
      <c r="H13" s="857">
        <f>IF(ISNUMBER(((NºAsuntos!G13/NºAsuntos!E13)-Datos!BD13)/Datos!BD13),((NºAsuntos!G13/NºAsuntos!E13)-Datos!BD13)/Datos!BD13," - ")</f>
        <v>-0.222793653262433</v>
      </c>
      <c r="I13" s="857">
        <f>IF(ISNUMBER(((NºAsuntos!I13/NºAsuntos!G13)-Datos!BE13)/Datos!BE13),((NºAsuntos!I13/NºAsuntos!G13)-Datos!BE13)/Datos!BE13," - ")</f>
        <v>3.9033085830789925E-2</v>
      </c>
      <c r="J13" s="857">
        <f>IF(ISNUMBER((('Resol  Asuntos'!D13/NºAsuntos!G13)-Datos!BF13)/Datos!BF13),(('Resol  Asuntos'!D13/NºAsuntos!G13)-Datos!BF13)/Datos!BF13," - ")</f>
        <v>-0.51019472887276807</v>
      </c>
      <c r="K13" s="857">
        <f>IF(ISNUMBER((((NºAsuntos!C13+NºAsuntos!E13)/NºAsuntos!G13)-Datos!BG13)/Datos!BG13),(((NºAsuntos!C13+NºAsuntos!E13)/NºAsuntos!G13)-Datos!BG13)/Datos!BG13," - ")</f>
        <v>3.4439542684769738E-2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0.11503384994125217</v>
      </c>
      <c r="C15" s="456">
        <f>IF(ISNUMBER(
   IF(D_I="SI",(Datos!J15-Datos!T15)/Datos!T15,(Datos!J15+Datos!AD15-(Datos!T15+Datos!AL15))/(Datos!T15+Datos!AL15))
     ),IF(D_I="SI",(Datos!J15-Datos!T15)/Datos!T15,(Datos!J15+Datos!AD15-(Datos!T15+Datos!AL15))/(Datos!T15+Datos!AL15))," - ")</f>
        <v>-4.7124600638977637E-2</v>
      </c>
      <c r="D15" s="456">
        <f>IF(ISNUMBER(
   IF(D_I="SI",(Datos!K15-Datos!U15)/Datos!U15,(Datos!K15+Datos!AE15-(Datos!U15+Datos!AM15))/(Datos!U15+Datos!AM15))
     ),IF(D_I="SI",(Datos!K15-Datos!U15)/Datos!U15,(Datos!K15+Datos!AE15-(Datos!U15+Datos!AM15))/(Datos!U15+Datos!AM15))," - ")</f>
        <v>3.0143908601559924E-2</v>
      </c>
      <c r="E15" s="456">
        <f>IF(ISNUMBER(
   IF(D_I="SI",(Datos!L15-Datos!V15)/Datos!V15,(Datos!L15+Datos!AF15-(Datos!V15+Datos!AN15))/(Datos!V15+Datos!AN15))
     ),IF(D_I="SI",(Datos!L15-Datos!V15)/Datos!V15,(Datos!L15+Datos!AF15-(Datos!V15+Datos!AN15))/(Datos!V15+Datos!AN15))," - ")</f>
        <v>1.5678290986965604E-2</v>
      </c>
      <c r="F15" s="456">
        <f>IF(ISNUMBER((Datos!M15-Datos!W15)/Datos!W15),(Datos!M15-Datos!W15)/Datos!W15," - ")</f>
        <v>3.9401343921808184E-2</v>
      </c>
      <c r="G15" s="457">
        <f>IF(ISNUMBER((Datos!N15-Datos!X15)/Datos!X15),(Datos!N15-Datos!X15)/Datos!X15," - ")</f>
        <v>-2.6684793163721111E-2</v>
      </c>
      <c r="H15" s="455">
        <f>IF(ISNUMBER(((NºAsuntos!G15/NºAsuntos!E15)-Datos!BD15)/Datos!BD15),((NºAsuntos!G15/NºAsuntos!E15)-Datos!BD15)/Datos!BD15," - ")</f>
        <v>8.1089835347152556E-2</v>
      </c>
      <c r="I15" s="456">
        <f>IF(ISNUMBER(((NºAsuntos!I15/NºAsuntos!G15)-Datos!BE15)/Datos!BE15),((NºAsuntos!I15/NºAsuntos!G15)-Datos!BE15)/Datos!BE15," - ")</f>
        <v>-1.4042326993159366E-2</v>
      </c>
      <c r="J15" s="461">
        <f>IF(ISNUMBER((('Resol  Asuntos'!D15/NºAsuntos!G15)-Datos!BF15)/Datos!BF15),(('Resol  Asuntos'!D15/NºAsuntos!G15)-Datos!BF15)/Datos!BF15," - ")</f>
        <v>8.9865457077889892E-3</v>
      </c>
      <c r="K15" s="462">
        <f>IF(ISNUMBER((((NºAsuntos!C15+NºAsuntos!E15)/NºAsuntos!G15)-Datos!BG15)/Datos!BG15),(((NºAsuntos!C15+NºAsuntos!E15)/NºAsuntos!G15)-Datos!BG15)/Datos!BG15," - ")</f>
        <v>-6.4452965943808949E-3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0.12496055538024614</v>
      </c>
      <c r="C17" s="456">
        <f>IF(ISNUMBER(
   IF(D_I="SI",(Datos!J17-Datos!T17)/Datos!T17,(Datos!J17+Datos!AD17-(Datos!T17+Datos!AL17))/(Datos!T17+Datos!AL17))
     ),IF(D_I="SI",(Datos!J17-Datos!T17)/Datos!T17,(Datos!J17+Datos!AD17-(Datos!T17+Datos!AL17))/(Datos!T17+Datos!AL17))," - ")</f>
        <v>6.4395865107608882E-3</v>
      </c>
      <c r="D17" s="456">
        <f>IF(ISNUMBER(
   IF(D_I="SI",(Datos!K17-Datos!U17)/Datos!U17,(Datos!K17+Datos!AE17-(Datos!U17+Datos!AM17))/(Datos!U17+Datos!AM17))
     ),IF(D_I="SI",(Datos!K17-Datos!U17)/Datos!U17,(Datos!K17+Datos!AE17-(Datos!U17+Datos!AM17))/(Datos!U17+Datos!AM17))," - ")</f>
        <v>6.5039291088446749E-2</v>
      </c>
      <c r="E17" s="456">
        <f>IF(ISNUMBER(
   IF(D_I="SI",(Datos!L17-Datos!V17)/Datos!V17,(Datos!L17+Datos!AF17-(Datos!V17+Datos!AN17))/(Datos!V17+Datos!AN17))
     ),IF(D_I="SI",(Datos!L17-Datos!V17)/Datos!V17,(Datos!L17+Datos!AF17-(Datos!V17+Datos!AN17))/(Datos!V17+Datos!AN17))," - ")</f>
        <v>2.9021302871256562E-2</v>
      </c>
      <c r="F17" s="456">
        <f>IF(ISNUMBER((Datos!M17-Datos!W17)/Datos!W17),(Datos!M17-Datos!W17)/Datos!W17," - ")</f>
        <v>0.56603773584905659</v>
      </c>
      <c r="G17" s="457">
        <f>IF(ISNUMBER((Datos!N17-Datos!X17)/Datos!X17),(Datos!N17-Datos!X17)/Datos!X17," - ")</f>
        <v>9.5048519532221945E-2</v>
      </c>
      <c r="H17" s="455">
        <f>IF(ISNUMBER(((NºAsuntos!G17/NºAsuntos!E17)-Datos!BD17)/Datos!BD17),((NºAsuntos!G17/NºAsuntos!E17)-Datos!BD17)/Datos!BD17," - ")</f>
        <v>5.8224761190928516E-2</v>
      </c>
      <c r="I17" s="456">
        <f>IF(ISNUMBER(((NºAsuntos!I17/NºAsuntos!G17)-Datos!BE17)/Datos!BE17),((NºAsuntos!I17/NºAsuntos!G17)-Datos!BE17)/Datos!BE17," - ")</f>
        <v>-3.3818459580379101E-2</v>
      </c>
      <c r="J17" s="461">
        <f>IF(ISNUMBER((('Resol  Asuntos'!D17/NºAsuntos!G17)-Datos!BF17)/Datos!BF17),(('Resol  Asuntos'!D17/NºAsuntos!G17)-Datos!BF17)/Datos!BF17," - ")</f>
        <v>0.47040372026894939</v>
      </c>
      <c r="K17" s="462">
        <f>IF(ISNUMBER((((NºAsuntos!C17+NºAsuntos!E17)/NºAsuntos!G17)-Datos!BG17)/Datos!BG17),(((NºAsuntos!C17+NºAsuntos!E17)/NºAsuntos!G17)-Datos!BG17)/Datos!BG17," - ")</f>
        <v>-1.6139532227105062E-2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0.11584222022356418</v>
      </c>
      <c r="C18" s="855">
        <f>IF(ISNUMBER(
   IF(Criterios!B14="SI",(Datos!J18-Datos!T18)/Datos!T18,(Datos!J18+Datos!AD18-(Datos!T18+Datos!AL18))/(Datos!T18+Datos!AL18))
     ),IF(Criterios!B14="SI",(Datos!J18-Datos!T18)/Datos!T18,(Datos!J18+Datos!AD18-(Datos!T18+Datos!AL18))/(Datos!T18+Datos!AL18))," - ")</f>
        <v>-4.1072283389181424E-2</v>
      </c>
      <c r="D18" s="855">
        <f>IF(ISNUMBER(
   IF(Criterios!B14="SI",(Datos!K18-Datos!U18)/Datos!U18,(Datos!K18+Datos!AE18-(Datos!U18+Datos!AM18))/(Datos!U18+Datos!AM18))
     ),IF(Criterios!B14="SI",(Datos!K18-Datos!U18)/Datos!U18,(Datos!K18+Datos!AE18-(Datos!U18+Datos!AM18))/(Datos!U18+Datos!AM18))," - ")</f>
        <v>3.4196830821811401E-2</v>
      </c>
      <c r="E18" s="855">
        <f>IF(ISNUMBER(
   IF(Criterios!B14="SI",(Datos!L18-Datos!V18)/Datos!V18,(Datos!L18+Datos!AF18-(Datos!V18+Datos!AN18))/(Datos!V18+Datos!AN18))
     ),IF(Criterios!B14="SI",(Datos!L18-Datos!V18)/Datos!V18,(Datos!L18+Datos!AF18-(Datos!V18+Datos!AN18))/(Datos!V18+Datos!AN18))," - ")</f>
        <v>1.6730797330865521E-2</v>
      </c>
      <c r="F18" s="856">
        <f>IF(ISNUMBER((Datos!M18-Datos!W18)/Datos!W18),(Datos!M18-Datos!W18)/Datos!W18," - ")</f>
        <v>4.3629753067717013E-2</v>
      </c>
      <c r="G18" s="857">
        <f>IF(ISNUMBER((Datos!N18-Datos!X18)/Datos!X18),(Datos!N18-Datos!X18)/Datos!X18," - ")</f>
        <v>-1.0247278591587153E-2</v>
      </c>
      <c r="H18" s="857">
        <f>IF(ISNUMBER(((NºAsuntos!G18/NºAsuntos!E18)-Datos!BD18)/Datos!BD18),((NºAsuntos!G18/NºAsuntos!E18)-Datos!BD18)/Datos!BD18," - ")</f>
        <v>7.849300099179525E-2</v>
      </c>
      <c r="I18" s="857">
        <f>IF(ISNUMBER(((NºAsuntos!I18/NºAsuntos!G18)-Datos!BE18)/Datos!BE18),((NºAsuntos!I18/NºAsuntos!G18)-Datos!BE18)/Datos!BE18," - ")</f>
        <v>-1.68885003032417E-2</v>
      </c>
      <c r="J18" s="857">
        <f>IF(ISNUMBER((('Resol  Asuntos'!D18/NºAsuntos!G18)-Datos!BF18)/Datos!BF18),(('Resol  Asuntos'!D18/NºAsuntos!G18)-Datos!BF18)/Datos!BF18," - ")</f>
        <v>9.1210125237087963E-3</v>
      </c>
      <c r="K18" s="857">
        <f>IF(ISNUMBER((((NºAsuntos!C18+NºAsuntos!E18)/NºAsuntos!G18)-Datos!BG18)/Datos!BG18),(((NºAsuntos!C18+NºAsuntos!E18)/NºAsuntos!G18)-Datos!BG18)/Datos!BG18," - ")</f>
        <v>-7.9962397135474716E-3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0.21334816882284163</v>
      </c>
      <c r="C19" s="802">
        <f>IF(ISNUMBER(
   IF(J_V="SI",(Datos!J19-Datos!T19)/Datos!T19,(Datos!J19+Datos!Z19-(Datos!T19+Datos!AH19))/(Datos!T19+Datos!AH19))
     ),IF(J_V="SI",(Datos!J19-Datos!T19)/Datos!T19,(Datos!J19+Datos!Z19-(Datos!T19+Datos!AH19))/(Datos!T19+Datos!AH19))," - ")</f>
        <v>0.3371051593088894</v>
      </c>
      <c r="D19" s="802">
        <f>IF(ISNUMBER(
   IF(J_V="SI",(Datos!K19-Datos!U19)/Datos!U19,(Datos!K19+Datos!AA19-(Datos!U19+Datos!AI19))/(Datos!U19+Datos!AI19))
     ),IF(J_V="SI",(Datos!K19-Datos!U19)/Datos!U19,(Datos!K19+Datos!AA19-(Datos!U19+Datos!AI19))/(Datos!U19+Datos!AI19))," - ")</f>
        <v>0.17025690259645634</v>
      </c>
      <c r="E19" s="802">
        <f>IF(ISNUMBER(
   IF(J_V="SI",(Datos!L19-Datos!V19)/Datos!V19,(Datos!L19+Datos!AB19-(Datos!V19+Datos!AJ19))/(Datos!V19+Datos!AJ19))
     ),IF(J_V="SI",(Datos!L19-Datos!V19)/Datos!V19,(Datos!L19+Datos!AB19-(Datos!V19+Datos!AJ19))/(Datos!V19+Datos!AJ19))," - ")</f>
        <v>0.28018175801047862</v>
      </c>
      <c r="F19" s="803">
        <f>IF(ISNUMBER((Datos!M19-Datos!W19)/Datos!W19),(Datos!M19-Datos!W19)/Datos!W19," - ")</f>
        <v>9.134554643082754E-2</v>
      </c>
      <c r="G19" s="804">
        <f>IF(ISNUMBER((Datos!N19-Datos!X19)/Datos!X19),(Datos!N19-Datos!X19)/Datos!X19," - ")</f>
        <v>0.24708187357829545</v>
      </c>
      <c r="H19" s="805">
        <f>IF(ISNUMBER((Tasas!B19-Datos!BD19)/Datos!BD19),(Tasas!B19-Datos!BD19)/Datos!BD19," - ")</f>
        <v>-0.1247831971560652</v>
      </c>
      <c r="I19" s="806">
        <f>IF(ISNUMBER((Tasas!C19-Datos!BE19)/Datos!BE19),(Tasas!C19-Datos!BE19)/Datos!BE19," - ")</f>
        <v>9.393224271536553E-2</v>
      </c>
      <c r="J19" s="807">
        <f>IF(ISNUMBER((Tasas!D19-Datos!BF19)/Datos!BF19),(Tasas!D19-Datos!BF19)/Datos!BF19," - ")</f>
        <v>-0.40150123747924377</v>
      </c>
      <c r="K19" s="807">
        <f>IF(ISNUMBER((Tasas!E19-Datos!BG19)/Datos!BG19),(Tasas!E19-Datos!BG19)/Datos!BG19," - ")</f>
        <v>6.911761640754252E-2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Tn15s/HFOUeqBXhOd/dW4qsa2H2oVy3UBlHVM+UCkrwlY8gfTRvFptvqYO/qMeWXF3jSrPLqEjM7ZkwGNUNcA==" saltValue="d9nRY9L9xWbPPnQ8rpR7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MADRID</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0.77722708484085523</v>
      </c>
      <c r="C9" s="443">
        <f>IF(ISNUMBER(NºAsuntos!I9/NºAsuntos!G9),NºAsuntos!I9/NºAsuntos!G9," - ")</f>
        <v>3.7678455279368439</v>
      </c>
      <c r="D9" s="444">
        <f>IF(ISNUMBER('Resol  Asuntos'!D9/NºAsuntos!G9),'Resol  Asuntos'!D9/NºAsuntos!G9," - ")</f>
        <v>0.21588083000675942</v>
      </c>
      <c r="E9" s="445">
        <f>IF(ISNUMBER((NºAsuntos!C9+NºAsuntos!E9)/NºAsuntos!G9),(NºAsuntos!C9+NºAsuntos!E9)/NºAsuntos!G9," - ")</f>
        <v>4.7461005751890726</v>
      </c>
      <c r="G9" s="463"/>
    </row>
    <row r="10" spans="1:7">
      <c r="A10" s="402" t="str">
        <f>Datos!A10</f>
        <v>Jdos. Violencia contra la mujer</v>
      </c>
      <c r="B10" s="442">
        <f>IF(ISNUMBER(NºAsuntos!G10/NºAsuntos!E10),NºAsuntos!G10/NºAsuntos!E10," - ")</f>
        <v>0.87607573149741824</v>
      </c>
      <c r="C10" s="443">
        <f>IF(ISNUMBER(NºAsuntos!I10/NºAsuntos!G10),NºAsuntos!I10/NºAsuntos!G10," - ")</f>
        <v>2.1100196463654224</v>
      </c>
      <c r="D10" s="444">
        <f>IF(ISNUMBER('Resol  Asuntos'!D10/NºAsuntos!G10),'Resol  Asuntos'!D10/NºAsuntos!G10," - ")</f>
        <v>0.36935166994106089</v>
      </c>
      <c r="E10" s="445">
        <f>IF(ISNUMBER((NºAsuntos!C10+NºAsuntos!E10)/NºAsuntos!G10),(NºAsuntos!C10+NºAsuntos!E10)/NºAsuntos!G10," - ")</f>
        <v>3.1119842829076623</v>
      </c>
      <c r="G10" s="463"/>
    </row>
    <row r="11" spans="1:7">
      <c r="A11" s="402" t="str">
        <f>Datos!A11</f>
        <v xml:space="preserve">Jdos. Familia                                   </v>
      </c>
      <c r="B11" s="442">
        <f>IF(ISNUMBER(NºAsuntos!G11/NºAsuntos!E11),NºAsuntos!G11/NºAsuntos!E11," - ")</f>
        <v>1.0067176279823953</v>
      </c>
      <c r="C11" s="443">
        <f>IF(ISNUMBER(NºAsuntos!I11/NºAsuntos!G11),NºAsuntos!I11/NºAsuntos!G11," - ")</f>
        <v>1.3856419696272435</v>
      </c>
      <c r="D11" s="444">
        <f>IF(ISNUMBER('Resol  Asuntos'!D11/NºAsuntos!G11),'Resol  Asuntos'!D11/NºAsuntos!G11," - ")</f>
        <v>0.43948458352508052</v>
      </c>
      <c r="E11" s="445">
        <f>IF(ISNUMBER((NºAsuntos!C11+NºAsuntos!E11)/NºAsuntos!G11),(NºAsuntos!C11+NºAsuntos!E11)/NºAsuntos!G11," - ")</f>
        <v>2.3773584905660377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0.78713568599275863</v>
      </c>
      <c r="C13" s="859">
        <f>IF(ISNUMBER(NºAsuntos!I13/NºAsuntos!G13),NºAsuntos!I13/NºAsuntos!G13," - ")</f>
        <v>3.6333709646425825</v>
      </c>
      <c r="D13" s="860">
        <f>IF(ISNUMBER('Resol  Asuntos'!D13/NºAsuntos!G13),'Resol  Asuntos'!D13/NºAsuntos!G13," - ")</f>
        <v>0.22849010376633358</v>
      </c>
      <c r="E13" s="861">
        <f>IF(ISNUMBER((NºAsuntos!C13+NºAsuntos!E13)/NºAsuntos!G13),(NºAsuntos!C13+NºAsuntos!E13)/NºAsuntos!G13," - ")</f>
        <v>4.6124735780169104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1.0622097369792256</v>
      </c>
      <c r="C15" s="443">
        <f>IF(ISNUMBER(NºAsuntos!I15/NºAsuntos!G15),NºAsuntos!I15/NºAsuntos!G15," - ")</f>
        <v>0.8193315844477147</v>
      </c>
      <c r="D15" s="444">
        <f>IF(ISNUMBER('Resol  Asuntos'!D15/NºAsuntos!G15),'Resol  Asuntos'!D15/NºAsuntos!G15," - ")</f>
        <v>0.14515750634504235</v>
      </c>
      <c r="E15" s="445">
        <f>IF(ISNUMBER((NºAsuntos!C15+NºAsuntos!E15)/NºAsuntos!G15),(NºAsuntos!C15+NºAsuntos!E15)/NºAsuntos!G15," - ")</f>
        <v>1.7915200375370572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1.0725711399225459</v>
      </c>
      <c r="C17" s="443">
        <f>IF(ISNUMBER(NºAsuntos!I17/NºAsuntos!G17),NºAsuntos!I17/NºAsuntos!G17," - ")</f>
        <v>0.52323390894819466</v>
      </c>
      <c r="D17" s="444">
        <f>IF(ISNUMBER('Resol  Asuntos'!D17/NºAsuntos!G17),'Resol  Asuntos'!D17/NºAsuntos!G17," - ")</f>
        <v>1.3029827315541601E-2</v>
      </c>
      <c r="E17" s="445">
        <f>IF(ISNUMBER((NºAsuntos!C17+NºAsuntos!E17)/NºAsuntos!G17),(NºAsuntos!C17+NºAsuntos!E17)/NºAsuntos!G17," - ")</f>
        <v>1.4919937205651492</v>
      </c>
      <c r="G17" s="463"/>
    </row>
    <row r="18" spans="1:7" ht="14.25" thickTop="1" thickBot="1">
      <c r="A18" s="848" t="str">
        <f>Datos!A18</f>
        <v>TOTAL</v>
      </c>
      <c r="B18" s="858">
        <f>IF(ISNUMBER(NºAsuntos!G18/NºAsuntos!E18),NºAsuntos!G18/NºAsuntos!E18," - ")</f>
        <v>1.063438498402556</v>
      </c>
      <c r="C18" s="859">
        <f>IF(ISNUMBER(NºAsuntos!I18/NºAsuntos!G18),NºAsuntos!I18/NºAsuntos!G18," - ")</f>
        <v>0.78391572938768617</v>
      </c>
      <c r="D18" s="862">
        <f>IF(ISNUMBER('Resol  Asuntos'!D18/NºAsuntos!G18),'Resol  Asuntos'!D18/NºAsuntos!G18," - ")</f>
        <v>0.12935388775184484</v>
      </c>
      <c r="E18" s="861">
        <f>IF(ISNUMBER((NºAsuntos!C18+NºAsuntos!E18)/NºAsuntos!G18),(NºAsuntos!C18+NºAsuntos!E18)/NºAsuntos!G18," - ")</f>
        <v>1.7556940871622511</v>
      </c>
      <c r="G18" s="463"/>
    </row>
    <row r="19" spans="1:7" ht="15.75" customHeight="1" thickTop="1" thickBot="1">
      <c r="A19" s="793" t="str">
        <f>Datos!A19</f>
        <v>TOTAL JURISDICCIONES</v>
      </c>
      <c r="B19" s="808">
        <f>IF(ISNUMBER(NºAsuntos!G19/NºAsuntos!E19),NºAsuntos!G19/NºAsuntos!E19," - ")</f>
        <v>0.87591507817863357</v>
      </c>
      <c r="C19" s="809">
        <f>IF(ISNUMBER(NºAsuntos!I19/NºAsuntos!G19),NºAsuntos!I19/NºAsuntos!G19," - ")</f>
        <v>2.5217951816936588</v>
      </c>
      <c r="D19" s="810">
        <f>IF(ISNUMBER('Resol  Asuntos'!D19/NºAsuntos!G19),'Resol  Asuntos'!D19/NºAsuntos!G19," - ")</f>
        <v>0.18981695123827103</v>
      </c>
      <c r="E19" s="811">
        <f>IF(ISNUMBER((NºAsuntos!C19+NºAsuntos!E19)/NºAsuntos!G19),(NºAsuntos!C19+NºAsuntos!E19)/NºAsuntos!G19," - ")</f>
        <v>3.498040594487295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pVUJBLQDmxa/u54TbvZmncSd4IOgNpEOGfd5ehG2Vg2KaN0fCTwNApoPux3OqFKFbEYVkNPKr+amDdmgug9pA==" saltValue="LhKyCK22S6L74/785DMw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MADRID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91</v>
      </c>
      <c r="B9" s="177" t="s">
        <v>246</v>
      </c>
      <c r="C9" s="160" t="str">
        <f>Datos!A9</f>
        <v xml:space="preserve">Jdos. 1ª Instancia   </v>
      </c>
      <c r="D9" s="160"/>
      <c r="E9" s="1025">
        <f>IF(ISNUMBER(Datos!AQ9),Datos!AQ9," - ")</f>
        <v>91</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12465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8800</v>
      </c>
      <c r="Y9" s="334">
        <f>SUM(W9:X9)</f>
        <v>8800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151800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16927</v>
      </c>
      <c r="AJ9" s="229" t="str">
        <f>IF(ISNUMBER(Datos!BW9),Datos!BW9," - ")</f>
        <v xml:space="preserve"> - </v>
      </c>
      <c r="AK9" s="228" t="str">
        <f>IF(ISNUMBER(Datos!BX9),Datos!BX9," - ")</f>
        <v xml:space="preserve"> - </v>
      </c>
      <c r="AL9" s="243">
        <f>IF(ISNUMBER(NºAsuntos!G9/NºAsuntos!E9),NºAsuntos!G9/NºAsuntos!E9," - ")</f>
        <v>0.77722708484085523</v>
      </c>
      <c r="AM9" s="260">
        <f>IF(ISNUMBER(((NºAsuntos!I9/NºAsuntos!G9)*11)/factor_trimestre),((NºAsuntos!I9/NºAsuntos!G9)*11)/factor_trimestre," - ")</f>
        <v>11.303536583810534</v>
      </c>
      <c r="AN9" s="244">
        <f>IF(ISNUMBER('Resol  Asuntos'!D9/NºAsuntos!G9),'Resol  Asuntos'!D9/NºAsuntos!G9," - ")</f>
        <v>0.21588083000675942</v>
      </c>
      <c r="AO9" s="245">
        <f>IF(ISNUMBER((NºAsuntos!C9+NºAsuntos!E9)/NºAsuntos!G9),(NºAsuntos!C9+NºAsuntos!E9)/NºAsuntos!G9," - ")</f>
        <v>4.7461005751890726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11</v>
      </c>
      <c r="B10" s="275" t="s">
        <v>246</v>
      </c>
      <c r="C10" s="7" t="str">
        <f>Datos!A10</f>
        <v>Jdos. Violencia contra la mujer</v>
      </c>
      <c r="D10" s="7"/>
      <c r="E10" s="1025">
        <f>IF(ISNUMBER(Datos!AQ10),Datos!AQ10," - ")</f>
        <v>11</v>
      </c>
      <c r="F10" s="225">
        <f>IF(ISNUMBER(Datos!L10+Datos!K10-Datos!J10-K10),Datos!L10+Datos!K10-Datos!J10-K10," - ")</f>
        <v>1002</v>
      </c>
      <c r="G10" s="333">
        <f>IF(ISNUMBER(Datos!I10),Datos!I10," - ")</f>
        <v>1003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509</v>
      </c>
      <c r="X10" s="226">
        <f>IF(ISNUMBER(Datos!Q10),Datos!Q10," - ")</f>
        <v>52</v>
      </c>
      <c r="Y10" s="334">
        <f t="shared" ref="Y10:Y12" si="0">SUM(W10:X10)</f>
        <v>561</v>
      </c>
      <c r="Z10" s="335" t="str">
        <f>IF(ISNUMBER(Datos!CC10),Datos!CC10," - ")</f>
        <v xml:space="preserve"> - </v>
      </c>
      <c r="AA10" s="332">
        <f>IF(ISNUMBER(Datos!L10),Datos!L10,"-")</f>
        <v>1074</v>
      </c>
      <c r="AB10" s="334">
        <f>IF(ISNUMBER(Datos!R10),Datos!R10," - ")</f>
        <v>1032</v>
      </c>
      <c r="AC10" s="334">
        <f t="shared" ref="AC10:AC12" si="1">IF(ISNUMBER(AA10+AB10),AA10+AB10," - ")</f>
        <v>2106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188</v>
      </c>
      <c r="AJ10" s="231" t="str">
        <f>IF(ISNUMBER(Datos!BW10),Datos!BW10," - ")</f>
        <v xml:space="preserve"> - </v>
      </c>
      <c r="AK10" s="232" t="str">
        <f>IF(ISNUMBER(Datos!BX10),Datos!BX10," - ")</f>
        <v xml:space="preserve"> - </v>
      </c>
      <c r="AL10" s="243">
        <f>IF(ISNUMBER(NºAsuntos!G10/NºAsuntos!E10),NºAsuntos!G10/NºAsuntos!E10," - ")</f>
        <v>0.87607573149741824</v>
      </c>
      <c r="AM10" s="260">
        <f>IF(ISNUMBER(((NºAsuntos!I10/NºAsuntos!G10)*11)/factor_trimestre),((NºAsuntos!I10/NºAsuntos!G10)*11)/factor_trimestre," - ")</f>
        <v>6.3300589390962676</v>
      </c>
      <c r="AN10" s="244">
        <f>IF(ISNUMBER('Resol  Asuntos'!D10/NºAsuntos!G10),'Resol  Asuntos'!D10/NºAsuntos!G10," - ")</f>
        <v>0.36935166994106089</v>
      </c>
      <c r="AO10" s="245">
        <f>IF(ISNUMBER((NºAsuntos!C10+NºAsuntos!E10)/NºAsuntos!G10),(NºAsuntos!C10+NºAsuntos!E10)/NºAsuntos!G10," - ")</f>
        <v>3.1119842829076623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14</v>
      </c>
      <c r="B11" s="275" t="s">
        <v>246</v>
      </c>
      <c r="C11" s="7" t="str">
        <f>Datos!A11</f>
        <v xml:space="preserve">Jdos. Familia                                   </v>
      </c>
      <c r="D11" s="7"/>
      <c r="E11" s="1025">
        <f>IF(ISNUMBER(Datos!AQ11),Datos!AQ11," - ")</f>
        <v>14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580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560</v>
      </c>
      <c r="Y11" s="334">
        <f t="shared" si="0"/>
        <v>560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4785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1910</v>
      </c>
      <c r="AJ11" s="231" t="str">
        <f>IF(ISNUMBER(Datos!BW11),Datos!BW11," - ")</f>
        <v xml:space="preserve"> - </v>
      </c>
      <c r="AK11" s="232" t="str">
        <f>IF(ISNUMBER(Datos!BX11),Datos!BX11," - ")</f>
        <v xml:space="preserve"> - </v>
      </c>
      <c r="AL11" s="243">
        <f>IF(ISNUMBER(NºAsuntos!G11/NºAsuntos!E11),NºAsuntos!G11/NºAsuntos!E11," - ")</f>
        <v>1.0067176279823953</v>
      </c>
      <c r="AM11" s="260">
        <f>IF(ISNUMBER(((NºAsuntos!I11/NºAsuntos!G11)*11)/factor_trimestre),((NºAsuntos!I11/NºAsuntos!G11)*11)/factor_trimestre," - ")</f>
        <v>4.156925908881731</v>
      </c>
      <c r="AN11" s="244">
        <f>IF(ISNUMBER('Resol  Asuntos'!D11/NºAsuntos!G11),'Resol  Asuntos'!D11/NºAsuntos!G11," - ")</f>
        <v>0.43948458352508052</v>
      </c>
      <c r="AO11" s="245">
        <f>IF(ISNUMBER((NºAsuntos!C11+NºAsuntos!E11)/NºAsuntos!G11),(NºAsuntos!C11+NºAsuntos!E11)/NºAsuntos!G11," - ")</f>
        <v>2.3773584905660377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116</v>
      </c>
      <c r="F13" s="865">
        <f t="shared" si="3"/>
        <v>1002</v>
      </c>
      <c r="G13" s="866">
        <f t="shared" si="3"/>
        <v>1003</v>
      </c>
      <c r="H13" s="865">
        <f t="shared" si="3"/>
        <v>0</v>
      </c>
      <c r="I13" s="867">
        <f t="shared" si="3"/>
        <v>0</v>
      </c>
      <c r="J13" s="867">
        <f t="shared" si="3"/>
        <v>0</v>
      </c>
      <c r="K13" s="867">
        <f t="shared" si="3"/>
        <v>0</v>
      </c>
      <c r="L13" s="867">
        <f t="shared" si="3"/>
        <v>13132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509</v>
      </c>
      <c r="X13" s="867">
        <f t="shared" si="4"/>
        <v>9412</v>
      </c>
      <c r="Y13" s="868">
        <f t="shared" si="4"/>
        <v>9921</v>
      </c>
      <c r="Z13" s="868">
        <f t="shared" si="4"/>
        <v>0</v>
      </c>
      <c r="AA13" s="868">
        <f t="shared" si="4"/>
        <v>1074</v>
      </c>
      <c r="AB13" s="868">
        <f t="shared" si="4"/>
        <v>157617</v>
      </c>
      <c r="AC13" s="868">
        <f t="shared" si="4"/>
        <v>2106</v>
      </c>
      <c r="AD13" s="868">
        <f t="shared" si="4"/>
        <v>0</v>
      </c>
      <c r="AE13" s="872">
        <f t="shared" si="4"/>
        <v>0</v>
      </c>
      <c r="AF13" s="865">
        <f t="shared" si="4"/>
        <v>0</v>
      </c>
      <c r="AG13" s="873">
        <f t="shared" si="4"/>
        <v>0</v>
      </c>
      <c r="AH13" s="870">
        <f t="shared" si="4"/>
        <v>0</v>
      </c>
      <c r="AI13" s="865">
        <f t="shared" si="4"/>
        <v>19025</v>
      </c>
      <c r="AJ13" s="867">
        <f t="shared" si="4"/>
        <v>0</v>
      </c>
      <c r="AK13" s="870">
        <f>SUBTOTAL(9,AK9:AK12)</f>
        <v>0</v>
      </c>
      <c r="AL13" s="874">
        <f>IF(ISNUMBER(NºAsuntos!G13/NºAsuntos!E13),NºAsuntos!G13/NºAsuntos!E13," - ")</f>
        <v>0.78713568599275863</v>
      </c>
      <c r="AM13" s="874">
        <f>IF(ISNUMBER(((NºAsuntos!I13/NºAsuntos!G13)*11)/factor_trimestre),((NºAsuntos!I13/NºAsuntos!G13)*11)/factor_trimestre," - ")</f>
        <v>10.900112893927748</v>
      </c>
      <c r="AN13" s="875">
        <f>IF(ISNUMBER('Resol  Asuntos'!D13/NºAsuntos!G13),'Resol  Asuntos'!D13/NºAsuntos!G13," - ")</f>
        <v>0.22849010376633358</v>
      </c>
      <c r="AO13" s="876">
        <f>IF(ISNUMBER((NºAsuntos!C13+NºAsuntos!E13)/NºAsuntos!G13),(NºAsuntos!C13+NºAsuntos!E13)/NºAsuntos!G13," - ")</f>
        <v>4.6124735780169104</v>
      </c>
      <c r="AP13" s="877" t="str">
        <f t="shared" si="2"/>
        <v xml:space="preserve"> - </v>
      </c>
      <c r="AQ13" s="877">
        <f>IF(ISNUMBER((H13-W13+K13)/(F13)),(H13-W13+K13)/(F13)," - ")</f>
        <v>-0.50798403193612773</v>
      </c>
      <c r="AR13" s="878">
        <f>IF(ISNUMBER((Datos!P13-Datos!Q13)/(Datos!R13-Datos!P13+Datos!Q13)),(Datos!P13-Datos!Q13)/(Datos!R13-Datos!P13+Datos!Q13)," - ")</f>
        <v>2.417201115031482E-2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54</v>
      </c>
      <c r="B15" s="275" t="s">
        <v>396</v>
      </c>
      <c r="C15" s="160" t="str">
        <f>Datos!A15</f>
        <v xml:space="preserve">Jdos. Instrucción                               </v>
      </c>
      <c r="D15" s="160"/>
      <c r="E15" s="1025">
        <f>IF(ISNUMBER(Datos!AQ15),Datos!AQ15," - ")</f>
        <v>54</v>
      </c>
      <c r="F15" s="225">
        <f>IF(ISNUMBER(AA15+W15-Datos!J15-K15),AA15+W15-Datos!J15-K15," - ")</f>
        <v>41162</v>
      </c>
      <c r="G15" s="333">
        <f>IF(ISNUMBER(IF(D_I="SI",Datos!I15,Datos!I15+Datos!AC15)),IF(D_I="SI",Datos!I15,Datos!I15+Datos!AC15)," - ")</f>
        <v>39858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2548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46887</v>
      </c>
      <c r="X15" s="226">
        <f>IF(ISNUMBER(Datos!Q15),Datos!Q15," - ")</f>
        <v>2664</v>
      </c>
      <c r="Y15" s="334">
        <f>SUM(W15)</f>
        <v>46887</v>
      </c>
      <c r="Z15" s="335" t="str">
        <f>IF(ISNUMBER(Datos!CC15),Datos!CC15," - ")</f>
        <v xml:space="preserve"> - </v>
      </c>
      <c r="AA15" s="332">
        <f>IF(ISNUMBER(IF(D_I="SI",Datos!L15,Datos!L15+Datos!AF15)),IF(D_I="SI",Datos!L15,Datos!L15+Datos!AF15)," - ")</f>
        <v>38416</v>
      </c>
      <c r="AB15" s="334">
        <f>IF(ISNUMBER(Datos!R15),Datos!R15," - ")</f>
        <v>4127</v>
      </c>
      <c r="AC15" s="334">
        <f t="shared" ref="AC15:AC17" si="6">IF(ISNUMBER(AA15+AB15),AA15+AB15," - ")</f>
        <v>42543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6806</v>
      </c>
      <c r="AJ15" s="231" t="str">
        <f>IF(ISNUMBER(Datos!BW15),Datos!BW15," - ")</f>
        <v xml:space="preserve"> - </v>
      </c>
      <c r="AK15" s="232" t="str">
        <f>IF(ISNUMBER(Datos!BX15),Datos!BX15," - ")</f>
        <v xml:space="preserve"> - </v>
      </c>
      <c r="AL15" s="243">
        <f>IF(ISNUMBER(NºAsuntos!G15/NºAsuntos!E15),NºAsuntos!G15/NºAsuntos!E15," - ")</f>
        <v>1.0622097369792256</v>
      </c>
      <c r="AM15" s="260">
        <f>IF(ISNUMBER(((NºAsuntos!I15/NºAsuntos!G15)*11)/factor_trimestre),((NºAsuntos!I15/NºAsuntos!G15)*11)/factor_trimestre," - ")</f>
        <v>2.4579947533431441</v>
      </c>
      <c r="AN15" s="244">
        <f>IF(ISNUMBER('Resol  Asuntos'!D15/NºAsuntos!G15),'Resol  Asuntos'!D15/NºAsuntos!G15," - ")</f>
        <v>0.14515750634504235</v>
      </c>
      <c r="AO15" s="245">
        <f>IF(ISNUMBER((NºAsuntos!C15+NºAsuntos!E15)/NºAsuntos!G15),(NºAsuntos!C15+NºAsuntos!E15)/NºAsuntos!G15," - ")</f>
        <v>1.7915200375370572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11</v>
      </c>
      <c r="B17" s="275" t="s">
        <v>396</v>
      </c>
      <c r="C17" s="7" t="str">
        <f>Datos!A17</f>
        <v>Jdos. Violencia contra la mujer</v>
      </c>
      <c r="D17" s="7"/>
      <c r="E17" s="1025">
        <f>IF(ISNUMBER(Datos!AQ17),Datos!AQ17," - ")</f>
        <v>11</v>
      </c>
      <c r="F17" s="225" t="str">
        <f>IF(ISNUMBER(AA17+W17-H17-K17),AA17+W17-H17-K17," - ")</f>
        <v xml:space="preserve"> - </v>
      </c>
      <c r="G17" s="333">
        <f>IF(ISNUMBER(IF(D_I="SI",Datos!I17,Datos!I17+Datos!AC17)),IF(D_I="SI",Datos!I17,Datos!I17+Datos!AC17)," - ")</f>
        <v>3565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6370</v>
      </c>
      <c r="X17" s="226">
        <f>IF(ISNUMBER(Datos!Q17),Datos!Q17," - ")</f>
        <v>10</v>
      </c>
      <c r="Y17" s="334">
        <f t="shared" si="7"/>
        <v>6380</v>
      </c>
      <c r="Z17" s="335" t="str">
        <f>IF(ISNUMBER(Datos!CC17),Datos!CC17," - ")</f>
        <v xml:space="preserve"> - </v>
      </c>
      <c r="AA17" s="332">
        <f>IF(ISNUMBER(Datos!L17),Datos!L17,"-")</f>
        <v>3333</v>
      </c>
      <c r="AB17" s="334">
        <f>IF(ISNUMBER(Datos!R17),Datos!R17," - ")</f>
        <v>33</v>
      </c>
      <c r="AC17" s="334">
        <f t="shared" si="6"/>
        <v>3366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83</v>
      </c>
      <c r="AJ17" s="231" t="str">
        <f>IF(ISNUMBER(Datos!BW17),Datos!BW17," - ")</f>
        <v xml:space="preserve"> - </v>
      </c>
      <c r="AK17" s="232" t="str">
        <f>IF(ISNUMBER(Datos!BX17),Datos!BX17," - ")</f>
        <v xml:space="preserve"> - </v>
      </c>
      <c r="AL17" s="243">
        <f>IF(ISNUMBER(NºAsuntos!G17/NºAsuntos!E17),NºAsuntos!G17/NºAsuntos!E17," - ")</f>
        <v>1.0725711399225459</v>
      </c>
      <c r="AM17" s="260">
        <f>IF(ISNUMBER(((NºAsuntos!I17/NºAsuntos!G17)*11)/factor_trimestre),((NºAsuntos!I17/NºAsuntos!G17)*11)/factor_trimestre," - ")</f>
        <v>1.5697017268445841</v>
      </c>
      <c r="AN17" s="244">
        <f>IF(ISNUMBER('Resol  Asuntos'!D17/NºAsuntos!G17),'Resol  Asuntos'!D17/NºAsuntos!G17," - ")</f>
        <v>1.3029827315541601E-2</v>
      </c>
      <c r="AO17" s="245">
        <f>IF(ISNUMBER((NºAsuntos!C17+NºAsuntos!E17)/NºAsuntos!G17),(NºAsuntos!C17+NºAsuntos!E17)/NºAsuntos!G17," - ")</f>
        <v>1.4919937205651492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65</v>
      </c>
      <c r="F18" s="865">
        <f>SUBTOTAL(9,F14:F17)</f>
        <v>41162</v>
      </c>
      <c r="G18" s="866">
        <f>SUBTOTAL(9,G15:G17)</f>
        <v>43423</v>
      </c>
      <c r="H18" s="865">
        <f t="shared" ref="H18:O18" si="10">SUBTOTAL(9,H14:H17)</f>
        <v>0</v>
      </c>
      <c r="I18" s="867">
        <f t="shared" si="10"/>
        <v>0</v>
      </c>
      <c r="J18" s="867">
        <f t="shared" si="10"/>
        <v>0</v>
      </c>
      <c r="K18" s="867">
        <f t="shared" si="10"/>
        <v>0</v>
      </c>
      <c r="L18" s="867">
        <f t="shared" si="10"/>
        <v>2572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53257</v>
      </c>
      <c r="X18" s="867">
        <f t="shared" si="11"/>
        <v>2674</v>
      </c>
      <c r="Y18" s="868">
        <f t="shared" si="11"/>
        <v>53267</v>
      </c>
      <c r="Z18" s="868">
        <f t="shared" si="11"/>
        <v>0</v>
      </c>
      <c r="AA18" s="868">
        <f t="shared" si="11"/>
        <v>41749</v>
      </c>
      <c r="AB18" s="868">
        <f t="shared" si="11"/>
        <v>4160</v>
      </c>
      <c r="AC18" s="868">
        <f t="shared" si="11"/>
        <v>45909</v>
      </c>
      <c r="AD18" s="868">
        <f t="shared" si="11"/>
        <v>0</v>
      </c>
      <c r="AE18" s="872">
        <f t="shared" si="11"/>
        <v>0</v>
      </c>
      <c r="AF18" s="865">
        <f t="shared" si="11"/>
        <v>0</v>
      </c>
      <c r="AG18" s="873">
        <f t="shared" si="11"/>
        <v>0</v>
      </c>
      <c r="AH18" s="870">
        <f t="shared" si="11"/>
        <v>0</v>
      </c>
      <c r="AI18" s="865">
        <f t="shared" si="11"/>
        <v>6889</v>
      </c>
      <c r="AJ18" s="867">
        <f t="shared" si="11"/>
        <v>0</v>
      </c>
      <c r="AK18" s="870">
        <f t="shared" si="11"/>
        <v>0</v>
      </c>
      <c r="AL18" s="874">
        <f>IF(ISNUMBER(NºAsuntos!G18/NºAsuntos!E18),NºAsuntos!G18/NºAsuntos!E18," - ")</f>
        <v>1.063438498402556</v>
      </c>
      <c r="AM18" s="874">
        <f>IF(ISNUMBER(((NºAsuntos!I18/NºAsuntos!G18)*11)/factor_trimestre),((NºAsuntos!I18/NºAsuntos!G18)*11)/factor_trimestre," - ")</f>
        <v>2.3517471881630585</v>
      </c>
      <c r="AN18" s="875">
        <f>IF(ISNUMBER('Resol  Asuntos'!D18/NºAsuntos!G18),'Resol  Asuntos'!D18/NºAsuntos!G18," - ")</f>
        <v>0.12935388775184484</v>
      </c>
      <c r="AO18" s="876">
        <f>IF(ISNUMBER((NºAsuntos!C18+NºAsuntos!E18)/NºAsuntos!G18),(NºAsuntos!C18+NºAsuntos!E18)/NºAsuntos!G18," - ")</f>
        <v>1.7556940871622511</v>
      </c>
      <c r="AP18" s="877" t="str">
        <f t="shared" si="2"/>
        <v xml:space="preserve"> - </v>
      </c>
      <c r="AQ18" s="877">
        <f>IF(ISNUMBER((H18-W18+K18)/(F18)),(H18-W18+K18)/(F18)," - ")</f>
        <v>-1.2938389776978767</v>
      </c>
      <c r="AR18" s="878">
        <f>IF(ISNUMBER((Datos!P18-Datos!Q18)/(Datos!R18-Datos!P18+Datos!Q18)),(Datos!P18-Datos!Q18)/(Datos!R18-Datos!P18+Datos!Q18)," - ")</f>
        <v>-2.3932426091037073E-2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181</v>
      </c>
      <c r="F19" s="820">
        <f t="shared" si="13"/>
        <v>42164</v>
      </c>
      <c r="G19" s="821">
        <f t="shared" si="13"/>
        <v>44426</v>
      </c>
      <c r="H19" s="820">
        <f t="shared" si="13"/>
        <v>0</v>
      </c>
      <c r="I19" s="822">
        <f t="shared" si="13"/>
        <v>0</v>
      </c>
      <c r="J19" s="822">
        <f t="shared" si="13"/>
        <v>0</v>
      </c>
      <c r="K19" s="881">
        <f t="shared" si="13"/>
        <v>0</v>
      </c>
      <c r="L19" s="822">
        <f t="shared" si="13"/>
        <v>15704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53766</v>
      </c>
      <c r="X19" s="821">
        <f t="shared" si="14"/>
        <v>12086</v>
      </c>
      <c r="Y19" s="828">
        <f t="shared" si="14"/>
        <v>63188</v>
      </c>
      <c r="Z19" s="828">
        <f t="shared" si="14"/>
        <v>0</v>
      </c>
      <c r="AA19" s="828">
        <f t="shared" si="14"/>
        <v>42823</v>
      </c>
      <c r="AB19" s="828">
        <f t="shared" si="14"/>
        <v>161777</v>
      </c>
      <c r="AC19" s="828">
        <f t="shared" si="14"/>
        <v>48015</v>
      </c>
      <c r="AD19" s="828">
        <f t="shared" si="14"/>
        <v>0</v>
      </c>
      <c r="AE19" s="830">
        <f t="shared" si="14"/>
        <v>0</v>
      </c>
      <c r="AF19" s="831">
        <f t="shared" si="14"/>
        <v>0</v>
      </c>
      <c r="AG19" s="832">
        <f t="shared" si="14"/>
        <v>0</v>
      </c>
      <c r="AH19" s="830">
        <f t="shared" si="14"/>
        <v>0</v>
      </c>
      <c r="AI19" s="820">
        <f t="shared" si="14"/>
        <v>25914</v>
      </c>
      <c r="AJ19" s="820">
        <f t="shared" si="14"/>
        <v>0</v>
      </c>
      <c r="AK19" s="830">
        <f t="shared" si="14"/>
        <v>0</v>
      </c>
      <c r="AL19" s="884">
        <f>IF(ISNUMBER(NºAsuntos!G19/NºAsuntos!E19),NºAsuntos!G19/NºAsuntos!E19," - ")</f>
        <v>0.87591507817863357</v>
      </c>
      <c r="AM19" s="885">
        <f>IF(ISNUMBER(((NºAsuntos!I19/NºAsuntos!G19)*11)/factor_trimestre),((NºAsuntos!I19/NºAsuntos!G19)*11)/factor_trimestre," - ")</f>
        <v>7.5653855450809759</v>
      </c>
      <c r="AN19" s="885">
        <f>IF(ISNUMBER('Resol  Asuntos'!D19/NºAsuntos!G19),'Resol  Asuntos'!D19/NºAsuntos!G19," - ")</f>
        <v>0.18981695123827103</v>
      </c>
      <c r="AO19" s="886">
        <f>IF(ISNUMBER((NºAsuntos!C19+NºAsuntos!E19)/NºAsuntos!G19),(NºAsuntos!C19+NºAsuntos!E19)/NºAsuntos!G19," - ")</f>
        <v>3.498040594487295</v>
      </c>
      <c r="AP19" s="887" t="str">
        <f t="shared" si="2"/>
        <v xml:space="preserve"> - </v>
      </c>
      <c r="AQ19" s="888">
        <f>IF(OR(ISNUMBER(FIND("01",Criterios!A8,1)),ISNUMBER(FIND("02",Criterios!A8,1)),ISNUMBER(FIND("03",Criterios!A8,1)),ISNUMBER(FIND("04",Criterios!A8,1))),(I19-W19+K19)/(F19-K19),(H19-W19+K19)/(F19-K19))</f>
        <v>-1.2751636467128356</v>
      </c>
      <c r="AR19" s="889">
        <f>IF(ISNUMBER((Datos!P19-Datos!Q19)/(Datos!R19-Datos!P19+Datos!Q19)),(Datos!P19-Datos!Q19)/(Datos!R19-Datos!P19+Datos!Q19)," - ")</f>
        <v>2.2875713680536675E-2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17770.400000000001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42.946995755750415</v>
      </c>
      <c r="F21" s="252">
        <f>IF(ISNUMBER(STDEV(F8:F18)),STDEV(F8:F18),"-")</f>
        <v>23186.386810655371</v>
      </c>
      <c r="G21" s="253">
        <f>IF(ISNUMBER(STDEV(G8:G18)),STDEV(G8:G18),"-")</f>
        <v>21851.789144141036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26282.920667231789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7769.703254736738</v>
      </c>
      <c r="AJ21" s="252">
        <f t="shared" si="18"/>
        <v>0</v>
      </c>
      <c r="AK21" s="254">
        <f t="shared" si="18"/>
        <v>0</v>
      </c>
      <c r="AL21" s="249">
        <f t="shared" si="18"/>
        <v>0.13262534887572464</v>
      </c>
      <c r="AM21" s="250">
        <f t="shared" si="18"/>
        <v>4.0804658888175176</v>
      </c>
      <c r="AN21" s="250">
        <f t="shared" si="18"/>
        <v>0.14561544219249123</v>
      </c>
      <c r="AO21" s="251">
        <f t="shared" si="18"/>
        <v>1.3635149324346374</v>
      </c>
      <c r="AP21" s="291" t="str">
        <f t="shared" si="18"/>
        <v>-</v>
      </c>
      <c r="AQ21" s="292">
        <f t="shared" si="18"/>
        <v>0.55568336117711925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m7fwcBWbVNBvJC7FQNga6WcYzlAoKOQM7OuRTj9zV3t6kHDop0YP0T7wJu1+whRxtrG3D0duMRXgH9vHl/rB3g==" saltValue="2iEwEu7jpuFZsM0brtjQ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MADRID</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0.10728069601622293</v>
      </c>
      <c r="I9" s="350">
        <f>IF(ISNUMBER((Tasas!C9-Datos!BE9)/Datos!BE9),(Tasas!C9-Datos!BE9)/Datos!BE9," - ")</f>
        <v>3.523376606654384E-2</v>
      </c>
      <c r="J9" s="349">
        <f>IF(ISNUMBER((Tasas!D9-Datos!BF9)/Datos!BF9),(Tasas!D9-Datos!BF9)/Datos!BF9," - ")</f>
        <v>-0.54625972479315343</v>
      </c>
      <c r="K9" s="351">
        <f>IF(ISNUMBER((Tasas!E9-Datos!BG9)/Datos!BG9),(Tasas!E9-Datos!BG9)/Datos!BG9," - ")</f>
        <v>3.2017476482807568E-2</v>
      </c>
      <c r="M9" t="e">
        <f>IF(Monitorios="SI",Datos!CE9,0)</f>
        <v>#REF!</v>
      </c>
      <c r="N9" t="e">
        <f>IF(Monitorios="SI",Datos!CF9,0)</f>
        <v>#REF!</v>
      </c>
      <c r="O9" t="e">
        <f>IF(Monitorios="SI",Datos!CG9,0)</f>
        <v>#REF!</v>
      </c>
      <c r="P9" t="e">
        <f>IF(Monitorios="SI",Datos!CH9,0)</f>
        <v>#REF!</v>
      </c>
      <c r="Q9">
        <f>IF(J_V="SI",0,Datos!AG9)</f>
        <v>2494</v>
      </c>
      <c r="R9">
        <f>IF(J_V="SI",0,Datos!AH9)</f>
        <v>4273</v>
      </c>
      <c r="S9">
        <f>IF(J_V="SI",0,Datos!AI9)</f>
        <v>4520</v>
      </c>
      <c r="T9">
        <f>IF(J_V="SI",0,Datos!AJ9)</f>
        <v>2351</v>
      </c>
    </row>
    <row r="10" spans="2:20" ht="14.25">
      <c r="B10" s="275" t="s">
        <v>246</v>
      </c>
      <c r="C10" s="7" t="str">
        <f>Datos!A10</f>
        <v>Jdos. Violencia contra la mujer</v>
      </c>
      <c r="D10" s="352">
        <f>IF(ISNUMBER((Datos!I10-Datos!S10)/Datos!S10),(Datos!I10-Datos!S10)/Datos!S10," - ")</f>
        <v>0.20408163265306123</v>
      </c>
      <c r="E10" s="348">
        <f>IF(ISNUMBER((Datos!J10-Datos!T10)/Datos!T10),(Datos!J10-Datos!T10)/Datos!T10," - ")</f>
        <v>0.2309322033898305</v>
      </c>
      <c r="F10" s="348">
        <f>IF(ISNUMBER((Datos!K10-Datos!U10)/Datos!U10),(Datos!K10-Datos!U10)/Datos!U10," - ")</f>
        <v>8.5287846481876331E-2</v>
      </c>
      <c r="G10" s="349">
        <f>IF(ISNUMBER((Datos!L10-Datos!V10)/Datos!V10),(Datos!L10-Datos!V10)/Datos!V10," - ")</f>
        <v>0.30181818181818182</v>
      </c>
      <c r="H10" s="230">
        <f>IF(ISNUMBER((Datos!M10-Datos!W10)/Datos!W10),(Datos!M10-Datos!W10)/Datos!W10," - ")</f>
        <v>0.20512820512820512</v>
      </c>
      <c r="I10" s="350">
        <f>IF(ISNUMBER((Tasas!C10-Datos!BE10)/Datos!BE10),(Tasas!C10-Datos!BE10)/Datos!BE10," - ")</f>
        <v>0.19951419896410069</v>
      </c>
      <c r="J10" s="349">
        <f>IF(ISNUMBER((Tasas!D10-Datos!BF10)/Datos!BF10),(Tasas!D10-Datos!BF10)/Datos!BF10," - ")</f>
        <v>0.11042264873306126</v>
      </c>
      <c r="K10" s="351">
        <f>IF(ISNUMBER((Tasas!E10-Datos!BG10)/Datos!BG10),(Tasas!E10-Datos!BG10)/Datos!BG10," - ")</f>
        <v>0.11840661201815599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0.12286890064667842</v>
      </c>
      <c r="I11" s="350">
        <f>IF(ISNUMBER((Tasas!C11-Datos!BE11)/Datos!BE11),(Tasas!C11-Datos!BE11)/Datos!BE11," - ")</f>
        <v>-3.2157385933562987E-2</v>
      </c>
      <c r="J11" s="349">
        <f>IF(ISNUMBER((Tasas!D11-Datos!BF11)/Datos!BF11),(Tasas!D11-Datos!BF11)/Datos!BF11," - ")</f>
        <v>0.31328739575323822</v>
      </c>
      <c r="K11" s="351">
        <f>IF(ISNUMBER((Tasas!E11-Datos!BG11)/Datos!BG11),(Tasas!E11-Datos!BG11)/Datos!BG11," - ")</f>
        <v>-2.1917573961124141E-2</v>
      </c>
      <c r="M11" t="e">
        <f>IF(Monitorios="SI",Datos!CE11,0)</f>
        <v>#REF!</v>
      </c>
      <c r="N11" t="e">
        <f>IF(Monitorios="SI",Datos!CF11,0)</f>
        <v>#REF!</v>
      </c>
      <c r="O11" t="e">
        <f>IF(Monitorios="SI",Datos!CG11,0)</f>
        <v>#REF!</v>
      </c>
      <c r="P11" t="e">
        <f>IF(Monitorios="SI",Datos!CH11,0)</f>
        <v>#REF!</v>
      </c>
      <c r="Q11">
        <f>IF(J_V="SI",0,Datos!AG11)</f>
        <v>320</v>
      </c>
      <c r="R11">
        <f>IF(J_V="SI",0,Datos!AH11)</f>
        <v>319</v>
      </c>
      <c r="S11">
        <f>IF(J_V="SI",0,Datos!AI11)</f>
        <v>321</v>
      </c>
      <c r="T11">
        <f>IF(J_V="SI",0,Datos!AJ11)</f>
        <v>307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0.10971768548763416</v>
      </c>
      <c r="I13" s="357">
        <f>IF(ISNUMBER((Tasas!C13-Datos!BE13)/Datos!BE13),(Tasas!C13-Datos!BE13)/Datos!BE13," - ")</f>
        <v>3.9033085830789925E-2</v>
      </c>
      <c r="J13" s="355">
        <f>IF(ISNUMBER((Tasas!D13-Datos!BF13)/Datos!BF13),(Tasas!D13-Datos!BF13)/Datos!BF13," - ")</f>
        <v>-0.51019472887276807</v>
      </c>
      <c r="K13" s="358">
        <f>IF(ISNUMBER((Tasas!E13-Datos!BG13)/Datos!BG13),(Tasas!E13-Datos!BG13)/Datos!BG13," - ")</f>
        <v>3.4439542684769738E-2</v>
      </c>
      <c r="M13" t="e">
        <f>IF(Monitorios="SI",Datos!CE13,0)</f>
        <v>#REF!</v>
      </c>
      <c r="N13" t="e">
        <f>IF(Monitorios="SI",Datos!CF13,0)</f>
        <v>#REF!</v>
      </c>
      <c r="O13" t="e">
        <f>IF(Monitorios="SI",Datos!CG13,0)</f>
        <v>#REF!</v>
      </c>
      <c r="P13" t="e">
        <f>IF(Monitorios="SI",Datos!CH13,0)</f>
        <v>#REF!</v>
      </c>
      <c r="Q13">
        <f>IF(J_V="SI",0,Datos!AG13)</f>
        <v>2814</v>
      </c>
      <c r="R13">
        <f>IF(J_V="SI",0,Datos!AH13)</f>
        <v>4592</v>
      </c>
      <c r="S13">
        <f>IF(J_V="SI",0,Datos!AI13)</f>
        <v>4841</v>
      </c>
      <c r="T13">
        <f>IF(J_V="SI",0,Datos!AJ13)</f>
        <v>2658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0.11503384994125217</v>
      </c>
      <c r="E15" s="348">
        <f>IF(ISNUMBER(
   IF(D_I="SI",(Datos!J15-Datos!T15)/Datos!T15,(Datos!J15+Datos!AD15-(Datos!T15+Datos!AL15))/(Datos!T15+Datos!AL15))
     ),IF(D_I="SI",(Datos!J15-Datos!T15)/Datos!T15,(Datos!J15+Datos!AD15-(Datos!T15+Datos!AL15))/(Datos!T15+Datos!AL15))," - ")</f>
        <v>-4.7124600638977637E-2</v>
      </c>
      <c r="F15" s="348">
        <f>IF(ISNUMBER(
   IF(D_I="SI",(Datos!K15-Datos!U15)/Datos!U15,(Datos!K15+Datos!AE15-(Datos!U15+Datos!AM15))/(Datos!U15+Datos!AM15))
     ),IF(D_I="SI",(Datos!K15-Datos!U15)/Datos!U15,(Datos!K15+Datos!AE15-(Datos!U15+Datos!AM15))/(Datos!U15+Datos!AM15))," - ")</f>
        <v>3.0143908601559924E-2</v>
      </c>
      <c r="G15" s="349">
        <f>IF(ISNUMBER(
   IF(D_I="SI",(Datos!L15-Datos!V15)/Datos!V15,(Datos!L15+Datos!AF15-(Datos!V15+Datos!AN15))/(Datos!V15+Datos!AN15))
     ),IF(D_I="SI",(Datos!L15-Datos!V15)/Datos!V15,(Datos!L15+Datos!AF15-(Datos!V15+Datos!AN15))/(Datos!V15+Datos!AN15))," - ")</f>
        <v>1.5678290986965604E-2</v>
      </c>
      <c r="H15" s="230">
        <f>IF(ISNUMBER((Datos!M15-Datos!W15)/Datos!W15),(Datos!M15-Datos!W15)/Datos!W15," - ")</f>
        <v>3.9401343921808184E-2</v>
      </c>
      <c r="I15" s="350">
        <f>IF(ISNUMBER((Tasas!C15-Datos!BE15)/Datos!BE15),(Tasas!C15-Datos!BE15)/Datos!BE15," - ")</f>
        <v>-1.4042326993159366E-2</v>
      </c>
      <c r="J15" s="349">
        <f>IF(ISNUMBER((Tasas!D15-Datos!BF15)/Datos!BF15),(Tasas!D15-Datos!BF15)/Datos!BF15," - ")</f>
        <v>8.9865457077889892E-3</v>
      </c>
      <c r="K15" s="351">
        <f>IF(ISNUMBER((Tasas!E15-Datos!BG15)/Datos!BG15),(Tasas!E15-Datos!BG15)/Datos!BG15," - ")</f>
        <v>-6.4452965943808949E-3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0.12496055538024614</v>
      </c>
      <c r="E17" s="348">
        <f>IF(ISNUMBER(
   IF(D_I="SI",(Datos!J17-Datos!T17)/Datos!T17,(Datos!J17+Datos!AD17-(Datos!T17+Datos!AL17))/(Datos!T17+Datos!AL17))
     ),IF(D_I="SI",(Datos!J17-Datos!T17)/Datos!T17,(Datos!J17+Datos!AD17-(Datos!T17+Datos!AL17))/(Datos!T17+Datos!AL17))," - ")</f>
        <v>6.4395865107608882E-3</v>
      </c>
      <c r="F17" s="348">
        <f>IF(ISNUMBER(
   IF(D_I="SI",(Datos!K17-Datos!U17)/Datos!U17,(Datos!K17+Datos!AE17-(Datos!U17+Datos!AM17))/(Datos!U17+Datos!AM17))
     ),IF(D_I="SI",(Datos!K17-Datos!U17)/Datos!U17,(Datos!K17+Datos!AE17-(Datos!U17+Datos!AM17))/(Datos!U17+Datos!AM17))," - ")</f>
        <v>6.5039291088446749E-2</v>
      </c>
      <c r="G17" s="349">
        <f>IF(ISNUMBER(
   IF(D_I="SI",(Datos!L17-Datos!V17)/Datos!V17,(Datos!L17+Datos!AF17-(Datos!V17+Datos!AN17))/(Datos!V17+Datos!AN17))
     ),IF(D_I="SI",(Datos!L17-Datos!V17)/Datos!V17,(Datos!L17+Datos!AF17-(Datos!V17+Datos!AN17))/(Datos!V17+Datos!AN17))," - ")</f>
        <v>2.9021302871256562E-2</v>
      </c>
      <c r="H17" s="230">
        <f>IF(ISNUMBER((Datos!M17-Datos!W17)/Datos!W17),(Datos!M17-Datos!W17)/Datos!W17," - ")</f>
        <v>0.56603773584905659</v>
      </c>
      <c r="I17" s="350">
        <f>IF(ISNUMBER((Tasas!C17-Datos!BE17)/Datos!BE17),(Tasas!C17-Datos!BE17)/Datos!BE17," - ")</f>
        <v>-3.3818459580379101E-2</v>
      </c>
      <c r="J17" s="349">
        <f>IF(ISNUMBER((Tasas!D17-Datos!BF17)/Datos!BF17),(Tasas!D17-Datos!BF17)/Datos!BF17," - ")</f>
        <v>0.47040372026894939</v>
      </c>
      <c r="K17" s="351">
        <f>IF(ISNUMBER((Tasas!E17-Datos!BG17)/Datos!BG17),(Tasas!E17-Datos!BG17)/Datos!BG17," - ")</f>
        <v>-1.6139532227105062E-2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0.11584222022356418</v>
      </c>
      <c r="E18" s="354">
        <f>IF(ISNUMBER(
   IF(D_I="SI",(Datos!J18-Datos!T18)/Datos!T18,(Datos!J18+Datos!AD18-(Datos!T18+Datos!AL18))/(Datos!T18+Datos!AL18))
     ),IF(D_I="SI",(Datos!J18-Datos!T18)/Datos!T18,(Datos!J18+Datos!AD18-(Datos!T18+Datos!AL18))/(Datos!T18+Datos!AL18))," - ")</f>
        <v>-4.1072283389181424E-2</v>
      </c>
      <c r="F18" s="354">
        <f>IF(ISNUMBER(
   IF(D_I="SI",(Datos!K18-Datos!U18)/Datos!U18,(Datos!K18+Datos!AE18-(Datos!U18+Datos!AM18))/(Datos!U18+Datos!AM18))
     ),IF(D_I="SI",(Datos!K18-Datos!U18)/Datos!U18,(Datos!K18+Datos!AE18-(Datos!U18+Datos!AM18))/(Datos!U18+Datos!AM18))," - ")</f>
        <v>3.4196830821811401E-2</v>
      </c>
      <c r="G18" s="355">
        <f>IF(ISNUMBER(
   IF(D_I="SI",(Datos!L18-Datos!V18)/Datos!V18,(Datos!L18+Datos!AF18-(Datos!V18+Datos!AN18))/(Datos!V18+Datos!AN18))
     ),IF(D_I="SI",(Datos!L18-Datos!V18)/Datos!V18,(Datos!L18+Datos!AF18-(Datos!V18+Datos!AN18))/(Datos!V18+Datos!AN18))," - ")</f>
        <v>1.6730797330865521E-2</v>
      </c>
      <c r="H18" s="356">
        <f>IF(ISNUMBER((Datos!M18-Datos!W18)/Datos!W18),(Datos!M18-Datos!W18)/Datos!W18," - ")</f>
        <v>4.3629753067717013E-2</v>
      </c>
      <c r="I18" s="357">
        <f>IF(ISNUMBER((Tasas!C18-Datos!BE18)/Datos!BE18),(Tasas!C18-Datos!BE18)/Datos!BE18," - ")</f>
        <v>-1.68885003032417E-2</v>
      </c>
      <c r="J18" s="355">
        <f>IF(ISNUMBER((Tasas!D18-Datos!BF18)/Datos!BF18),(Tasas!D18-Datos!BF18)/Datos!BF18," - ")</f>
        <v>9.1210125237087963E-3</v>
      </c>
      <c r="K18" s="358">
        <f>IF(ISNUMBER((Tasas!E18-Datos!BG18)/Datos!BG18),(Tasas!E18-Datos!BG18)/Datos!BG18," - ")</f>
        <v>-7.9962397135474716E-3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0.21334816882284163</v>
      </c>
      <c r="E19" s="363">
        <f>IF(ISNUMBER(
   IF(J_V="SI",(Datos!J19-Datos!T19)/Datos!T19,(Datos!J19+Datos!Z19-(Datos!T19+Datos!AH19))/(Datos!T19+Datos!AH19))
     ),IF(J_V="SI",(Datos!J19-Datos!T19)/Datos!T19,(Datos!J19+Datos!Z19-(Datos!T19+Datos!AH19))/(Datos!T19+Datos!AH19))," - ")</f>
        <v>0.3371051593088894</v>
      </c>
      <c r="F19" s="363">
        <f>IF(ISNUMBER(
   IF(J_V="SI",(Datos!K19-Datos!U19)/Datos!U19,(Datos!K19+Datos!AA19-(Datos!U19+Datos!AI19))/(Datos!U19+Datos!AI19))
     ),IF(J_V="SI",(Datos!K19-Datos!U19)/Datos!U19,(Datos!K19+Datos!AA19-(Datos!U19+Datos!AI19))/(Datos!U19+Datos!AI19))," - ")</f>
        <v>0.17025690259645634</v>
      </c>
      <c r="G19" s="364">
        <f>IF(ISNUMBER(
   IF(J_V="SI",(Datos!L19-Datos!V19)/Datos!V19,(Datos!L19+Datos!AB19-(Datos!V19+Datos!AJ19))/(Datos!V19+Datos!AJ19))
     ),IF(J_V="SI",(Datos!L19-Datos!V19)/Datos!V19,(Datos!L19+Datos!AB19-(Datos!V19+Datos!AJ19))/(Datos!V19+Datos!AJ19))," - ")</f>
        <v>0.28018175801047862</v>
      </c>
      <c r="H19" s="365">
        <f>IF(ISNUMBER((Datos!M19-Datos!W19)/Datos!W19),(Datos!M19-Datos!W19)/Datos!W19," - ")</f>
        <v>9.134554643082754E-2</v>
      </c>
      <c r="I19" s="362">
        <f>IF(ISNUMBER((Tasas!C19-Datos!BE19)/Datos!BE19),(Tasas!C19-Datos!BE19)/Datos!BE19," - ")</f>
        <v>9.393224271536553E-2</v>
      </c>
      <c r="J19" s="363">
        <f>IF(ISNUMBER((Tasas!D19-Datos!BF19)/Datos!BF19),(Tasas!D19-Datos!BF19)/Datos!BF19," - ")</f>
        <v>-0.40150123747924377</v>
      </c>
      <c r="K19" s="364">
        <f>IF(ISNUMBER((Tasas!E19-Datos!BG19)/Datos!BG19),(Tasas!E19-Datos!BG19)/Datos!BG19," - ")</f>
        <v>6.911761640754252E-2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4.2971098194036897E-2</v>
      </c>
      <c r="E21" s="278">
        <f t="shared" si="1"/>
        <v>0.13129549770090332</v>
      </c>
      <c r="F21" s="278">
        <f t="shared" si="1"/>
        <v>2.6214692150227661E-2</v>
      </c>
      <c r="G21" s="279">
        <f t="shared" si="1"/>
        <v>0.14080103910130579</v>
      </c>
      <c r="H21" s="285">
        <f t="shared" si="1"/>
        <v>0.18298086263257149</v>
      </c>
      <c r="I21" s="277">
        <f t="shared" si="1"/>
        <v>8.2423589782468623E-2</v>
      </c>
      <c r="J21" s="278">
        <f t="shared" si="1"/>
        <v>0.38460200809126827</v>
      </c>
      <c r="K21" s="279">
        <f t="shared" si="1"/>
        <v>4.9286147041285241E-2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OLDJNyg/aYgT70wfSaWHnnWZM3CmEKza/Ua5NsxOY2oUW0M1Cskb2mLnCYLgT0cyrtq6GO0fdg5N5/4Qc0BKA==" saltValue="kfW+oQ16r8HZnh2g9O/0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91</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41.446300807305285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11</v>
      </c>
      <c r="B10" s="502" t="str">
        <f>Datos!A10</f>
        <v>Jdos. Violencia contra la mujer</v>
      </c>
      <c r="C10" s="225">
        <f t="shared" si="0"/>
        <v>1002</v>
      </c>
      <c r="D10" s="225">
        <f>IF(ISNUMBER(Datos!I10),Datos!I10," - ")</f>
        <v>1003</v>
      </c>
      <c r="E10" s="226">
        <f>IF(ISNUMBER(Datos!J10),Datos!J10," - ")</f>
        <v>581</v>
      </c>
      <c r="F10" s="226">
        <f>IF(ISNUMBER(Datos!K10),Datos!K10," - ")</f>
        <v>509</v>
      </c>
      <c r="G10" s="1034" t="str">
        <f>IF(Datos!E10&lt;&gt;"",Datos!E10,Datos!D10)</f>
        <v>37</v>
      </c>
      <c r="H10" s="227">
        <f>IF(ISNUMBER(Datos!L10),Datos!L10," - ")</f>
        <v>1074</v>
      </c>
      <c r="I10" s="1044" t="str">
        <f>IF(ISNUMBER(Datos!AS10/Datos!BM10),Datos!AS10/Datos!BM10," - ")</f>
        <v xml:space="preserve"> - </v>
      </c>
      <c r="J10" s="1045">
        <f>IF(ISNUMBER(Datos!BY10/Datos!CN10),Datos!BY10/Datos!CN10," - ")</f>
        <v>0</v>
      </c>
      <c r="K10" s="230">
        <f t="shared" ref="K10:K12" si="1">IF(ISNUMBER((E10-F10)/C10),(E10-F10)/C10," - ")</f>
        <v>7.1856287425149698E-2</v>
      </c>
      <c r="L10" s="1025">
        <f>IF(ISNUMBER(NºAsuntos!I10/NºAsuntos!G10),(NºAsuntos!I10/NºAsuntos!G10)*11," - ")</f>
        <v>23.210216110019648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15.242061665899678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1002</v>
      </c>
      <c r="D13" s="1049">
        <f>SUBTOTAL(9,D9:D12)</f>
        <v>1003</v>
      </c>
      <c r="E13" s="1050">
        <f>SUBTOTAL(9,E9:E12)</f>
        <v>581</v>
      </c>
      <c r="F13" s="1051">
        <f>SUBTOTAL(9,F9:F12)</f>
        <v>509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54</v>
      </c>
      <c r="B15" s="502" t="str">
        <f>Datos!A15</f>
        <v xml:space="preserve">Jdos. Instrucción                               </v>
      </c>
      <c r="C15" s="225">
        <f t="shared" ref="C15:C17" si="2">IF(ISNUMBER(H15-E15+F15),H15-E15+F15," - ")</f>
        <v>41162</v>
      </c>
      <c r="D15" s="225">
        <f>IF(ISNUMBER(IF(D_I="SI",Datos!I15,Datos!I15+Datos!AC15)),IF(D_I="SI",Datos!I15,Datos!I15+Datos!AC15)," - ")</f>
        <v>39858</v>
      </c>
      <c r="E15" s="226">
        <f>IF(ISNUMBER(IF(D_I="SI",Datos!J15,Datos!J15+Datos!AD15)),IF(D_I="SI",Datos!J15,Datos!J15+Datos!AD15)," - ")</f>
        <v>44141</v>
      </c>
      <c r="F15" s="226">
        <f>IF(ISNUMBER(IF(D_I="SI",Datos!K15,Datos!K15+Datos!AE15)),IF(D_I="SI",Datos!K15,Datos!K15+Datos!AE15)," - ")</f>
        <v>46887</v>
      </c>
      <c r="G15" s="1034" t="str">
        <f>IF(Datos!E15&lt;&gt;"",Datos!E15,Datos!D15)</f>
        <v>03</v>
      </c>
      <c r="H15" s="227">
        <f>IF(ISNUMBER(IF(D_I="SI",Datos!L15,Datos!L15+Datos!AF15)),IF(D_I="SI",Datos!L15,Datos!L15+Datos!AF15)," - ")</f>
        <v>38416</v>
      </c>
      <c r="I15" s="1044" t="str">
        <f>IF(ISNUMBER(Datos!AS15/Datos!BM15),Datos!AS15/Datos!BM15," - ")</f>
        <v xml:space="preserve"> - </v>
      </c>
      <c r="J15" s="1045">
        <f>IF(ISNUMBER(Datos!BY15/Datos!CN15),Datos!BY15/Datos!CN15," - ")</f>
        <v>0</v>
      </c>
      <c r="K15" s="230">
        <f t="shared" ref="K15:K17" si="3">IF(ISNUMBER((E15-F15)/C15),(E15-F15)/C15," - ")</f>
        <v>-6.6712015937029301E-2</v>
      </c>
      <c r="L15" s="1025">
        <f>IF(ISNUMBER(NºAsuntos!I15/NºAsuntos!G15),(NºAsuntos!I15/NºAsuntos!G15)*11," - ")</f>
        <v>9.0126474289248613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11</v>
      </c>
      <c r="B17" s="502" t="str">
        <f>Datos!A17</f>
        <v>Jdos. Violencia contra la mujer</v>
      </c>
      <c r="C17" s="225">
        <f t="shared" si="2"/>
        <v>3764</v>
      </c>
      <c r="D17" s="225">
        <f>IF(ISNUMBER(IF(D_I="SI",Datos!I17,Datos!I17+Datos!AC17)),IF(D_I="SI",Datos!I17,Datos!I17+Datos!AC17)," - ")</f>
        <v>3565</v>
      </c>
      <c r="E17" s="226">
        <f>IF(ISNUMBER(IF(D_I="SI",Datos!J17,Datos!J17+Datos!AD17)),IF(D_I="SI",Datos!J17,Datos!J17+Datos!AD17)," - ")</f>
        <v>5939</v>
      </c>
      <c r="F17" s="226">
        <f>IF(ISNUMBER(IF(D_I="SI",Datos!K17,Datos!K17+Datos!AE17)),IF(D_I="SI",Datos!K17,Datos!K17+Datos!AE17)," - ")</f>
        <v>6370</v>
      </c>
      <c r="G17" s="1034" t="str">
        <f>IF(Datos!E17&lt;&gt;"",Datos!E17,Datos!D17)</f>
        <v>37</v>
      </c>
      <c r="H17" s="227">
        <f>IF(ISNUMBER(IF(D_I="SI",Datos!L17,Datos!L17+Datos!AF17)),IF(D_I="SI",Datos!L17,Datos!L17+Datos!AF17)," - ")</f>
        <v>3333</v>
      </c>
      <c r="I17" s="1044" t="str">
        <f>IF(ISNUMBER(Datos!AS17/Datos!BM17),Datos!AS17/Datos!BM17," - ")</f>
        <v xml:space="preserve"> - </v>
      </c>
      <c r="J17" s="1045" t="str">
        <f>IF(ISNUMBER((Datos!BY17+Datos!BZ17)/Datos!CN17),(Datos!BY17+Datos!BZ17)/Datos!CN17," - ")</f>
        <v xml:space="preserve"> - </v>
      </c>
      <c r="K17" s="230">
        <f t="shared" si="3"/>
        <v>-0.1145058448459086</v>
      </c>
      <c r="L17" s="1025">
        <f>IF(ISNUMBER(NºAsuntos!I17/NºAsuntos!G17),(NºAsuntos!I17/NºAsuntos!G17)*11," - ")</f>
        <v>5.7555729984301411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44926</v>
      </c>
      <c r="D18" s="1049">
        <f>SUBTOTAL(9,D15:D17)</f>
        <v>43423</v>
      </c>
      <c r="E18" s="1050">
        <f>SUBTOTAL(9,E15:E17)</f>
        <v>50080</v>
      </c>
      <c r="F18" s="1050">
        <f>SUBTOTAL(9,F15:F17)</f>
        <v>53257</v>
      </c>
      <c r="G18" s="1052" t="str">
        <f ca="1">INDIRECT(CONCATENATE("G",ROW()-1))</f>
        <v>37</v>
      </c>
      <c r="H18" s="1053">
        <f ca="1">SUMIF(G$14:G17,G18,H$14:H17)</f>
        <v>3333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45928</v>
      </c>
      <c r="D19" s="1071">
        <f>SUBTOTAL(9,D9:D18)</f>
        <v>44426</v>
      </c>
      <c r="E19" s="1072">
        <f>SUBTOTAL(9,E9:E18)</f>
        <v>50661</v>
      </c>
      <c r="F19" s="1072">
        <f>SUBTOTAL(9,F9:F18)</f>
        <v>53766</v>
      </c>
      <c r="G19" s="1073"/>
      <c r="H19" s="1074">
        <f ca="1">SUMIF(B9:B18,"TOTAL",H9:H18)</f>
        <v>3333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b6ai/S+MjI1ZGAeW7tP3AlYOBPhpaRBdgDbkMgpssZGY/opMFanc5/mMMo4Pp18gB0BWthmF14A1Mhx0xXIzA==" saltValue="sPz1f/ZXe89iLbwS5U6MI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s8y0oCw3QDf1F0UT3CyhLcnbDv4jfHvk0pgSDbCu6tO+95YhTx1gK3jo70SjT/dbXyDwAxYAgKpJQeOi/Cqeg==" saltValue="+Ybne1wdirogNnZIaaub3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269159</v>
      </c>
      <c r="J9" s="181">
        <v>96688</v>
      </c>
      <c r="K9" s="181">
        <v>74269</v>
      </c>
      <c r="L9" s="181">
        <v>293226</v>
      </c>
      <c r="M9" s="181">
        <v>16927</v>
      </c>
      <c r="N9" s="181">
        <v>44075</v>
      </c>
      <c r="O9" s="181">
        <v>21603</v>
      </c>
      <c r="P9" s="181">
        <v>12465</v>
      </c>
      <c r="Q9" s="181">
        <v>8800</v>
      </c>
      <c r="R9" s="181">
        <v>151800</v>
      </c>
      <c r="S9" s="181">
        <v>216832</v>
      </c>
      <c r="T9" s="181">
        <v>56384</v>
      </c>
      <c r="U9" s="181">
        <v>56361</v>
      </c>
      <c r="V9" s="181">
        <v>219232</v>
      </c>
      <c r="W9" s="181">
        <v>15287</v>
      </c>
      <c r="X9" s="188">
        <v>28966</v>
      </c>
      <c r="Y9" s="191">
        <v>2095</v>
      </c>
      <c r="Z9" s="181">
        <v>4195</v>
      </c>
      <c r="AA9" s="181">
        <v>4140</v>
      </c>
      <c r="AB9" s="181">
        <v>2207</v>
      </c>
      <c r="AC9" s="181">
        <v>0</v>
      </c>
      <c r="AD9" s="181">
        <v>0</v>
      </c>
      <c r="AE9" s="181">
        <v>0</v>
      </c>
      <c r="AF9" s="188">
        <v>0</v>
      </c>
      <c r="AG9" s="191">
        <v>2494</v>
      </c>
      <c r="AH9" s="181">
        <v>4273</v>
      </c>
      <c r="AI9" s="181">
        <v>4520</v>
      </c>
      <c r="AJ9" s="192">
        <v>2351</v>
      </c>
      <c r="AK9" s="180">
        <v>0</v>
      </c>
      <c r="AL9" s="181">
        <v>0</v>
      </c>
      <c r="AM9" s="181">
        <v>0</v>
      </c>
      <c r="AN9" s="188">
        <v>0</v>
      </c>
      <c r="AO9" s="258">
        <v>91</v>
      </c>
      <c r="AP9" s="154">
        <v>91</v>
      </c>
      <c r="AQ9" s="154">
        <v>91</v>
      </c>
      <c r="AR9" s="193">
        <v>91</v>
      </c>
      <c r="AS9" s="338" t="s">
        <v>799</v>
      </c>
      <c r="AT9" s="195"/>
      <c r="AU9" s="194"/>
      <c r="AV9" s="195"/>
      <c r="AW9" s="194"/>
      <c r="AX9" s="195"/>
      <c r="AY9" s="123">
        <f>IF(ISNUMBER(IF(J_V="SI",S9,S9+AG9)),IF(J_V="SI",S9,S9+AG9)," - ")</f>
        <v>219326</v>
      </c>
      <c r="AZ9" s="123">
        <f>IF(ISNUMBER(IF(J_V="SI",T9,T9+AH9)),IF(J_V="SI",T9,T9+AH9)," - ")</f>
        <v>60657</v>
      </c>
      <c r="BA9" s="124">
        <f>IF(ISNUMBER(IF(J_V="SI",U9,U9+AI9)),IF(J_V="SI",U9,U9+AI9)," - ")</f>
        <v>60881</v>
      </c>
      <c r="BB9" s="124">
        <f>IF(ISNUMBER(IF(J_V="SI",V9,V9+AJ9)),IF(J_V="SI",V9,V9+AJ9)," - ")</f>
        <v>221583</v>
      </c>
      <c r="BC9" s="125">
        <f>IF(ISNUMBER(X9),X9," - ")</f>
        <v>28966</v>
      </c>
      <c r="BD9" s="126">
        <f>IF(ISNUMBER(BA9/AZ9),BA9/AZ9," - ")</f>
        <v>1.0036928961208105</v>
      </c>
      <c r="BE9" s="127">
        <f>IF(ISNUMBER(BB9/BA9),BB9/BA9, " - ")</f>
        <v>3.6396084164189157</v>
      </c>
      <c r="BF9" s="127">
        <f>IF(ISNUMBER(BC9/BA9),BC9/BA9, " - ")</f>
        <v>0.47578062121187237</v>
      </c>
      <c r="BG9" s="196">
        <f>IF(ISNUMBER((AY9+AZ9)/BA9),(AY9+AZ9)/BA9," - ")</f>
        <v>4.5988567861894518</v>
      </c>
      <c r="BH9" s="154">
        <v>91</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1003</v>
      </c>
      <c r="J10" s="181">
        <v>581</v>
      </c>
      <c r="K10" s="181">
        <v>509</v>
      </c>
      <c r="L10" s="181">
        <v>1074</v>
      </c>
      <c r="M10" s="181">
        <v>188</v>
      </c>
      <c r="N10" s="181">
        <v>225</v>
      </c>
      <c r="O10" s="181">
        <v>60</v>
      </c>
      <c r="P10" s="181">
        <v>87</v>
      </c>
      <c r="Q10" s="181">
        <v>52</v>
      </c>
      <c r="R10" s="181">
        <v>1032</v>
      </c>
      <c r="S10" s="181">
        <v>833</v>
      </c>
      <c r="T10" s="181">
        <v>472</v>
      </c>
      <c r="U10" s="181">
        <v>469</v>
      </c>
      <c r="V10" s="181">
        <v>825</v>
      </c>
      <c r="W10" s="181">
        <v>156</v>
      </c>
      <c r="X10" s="188">
        <v>221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11</v>
      </c>
      <c r="AP10" s="155">
        <v>11</v>
      </c>
      <c r="AQ10" s="154">
        <v>11</v>
      </c>
      <c r="AR10" s="155">
        <v>11</v>
      </c>
      <c r="AS10" s="339" t="s">
        <v>793</v>
      </c>
      <c r="AT10" s="192"/>
      <c r="AU10" s="200"/>
      <c r="AV10" s="192"/>
      <c r="AW10" s="200"/>
      <c r="AX10" s="192"/>
      <c r="AY10" s="128">
        <f t="shared" ref="AY10:BC10" si="0">IF(ISNUMBER(S10),S10," - ")</f>
        <v>833</v>
      </c>
      <c r="AZ10" s="129">
        <f t="shared" si="0"/>
        <v>472</v>
      </c>
      <c r="BA10" s="129">
        <f t="shared" si="0"/>
        <v>469</v>
      </c>
      <c r="BB10" s="129">
        <f t="shared" si="0"/>
        <v>825</v>
      </c>
      <c r="BC10" s="125">
        <f t="shared" si="0"/>
        <v>156</v>
      </c>
      <c r="BD10" s="126">
        <f>IF(ISNUMBER(BA10/AZ10),BA10/AZ10," - ")</f>
        <v>0.99364406779661019</v>
      </c>
      <c r="BE10" s="127">
        <f>IF(ISNUMBER(BB10/BA10),BB10/BA10, " - ")</f>
        <v>1.7590618336886994</v>
      </c>
      <c r="BF10" s="127">
        <f>IF(ISNUMBER(BC10/BA10),BC10/BA10, " - ")</f>
        <v>0.3326226012793177</v>
      </c>
      <c r="BG10" s="196">
        <f>IF(ISNUMBER((AY10+AZ10)/BA10),(AY10+AZ10)/BA10," - ")</f>
        <v>2.7825159914712154</v>
      </c>
      <c r="BH10" s="155">
        <v>11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5647</v>
      </c>
      <c r="J11" s="183">
        <v>3942</v>
      </c>
      <c r="K11" s="183">
        <v>3974</v>
      </c>
      <c r="L11" s="183">
        <v>5641</v>
      </c>
      <c r="M11" s="183">
        <v>1910</v>
      </c>
      <c r="N11" s="183">
        <v>1349</v>
      </c>
      <c r="O11" s="181">
        <v>1213</v>
      </c>
      <c r="P11" s="183">
        <v>580</v>
      </c>
      <c r="Q11" s="183">
        <v>560</v>
      </c>
      <c r="R11" s="183">
        <v>4785</v>
      </c>
      <c r="S11" s="183">
        <v>5736</v>
      </c>
      <c r="T11" s="183">
        <v>2893</v>
      </c>
      <c r="U11" s="183">
        <v>3492</v>
      </c>
      <c r="V11" s="183">
        <v>5152</v>
      </c>
      <c r="W11" s="183">
        <v>1701</v>
      </c>
      <c r="X11" s="189">
        <v>1276</v>
      </c>
      <c r="Y11" s="191">
        <v>368</v>
      </c>
      <c r="Z11" s="181">
        <v>375</v>
      </c>
      <c r="AA11" s="181">
        <v>372</v>
      </c>
      <c r="AB11" s="181">
        <v>381</v>
      </c>
      <c r="AC11" s="183">
        <v>0</v>
      </c>
      <c r="AD11" s="183">
        <v>0</v>
      </c>
      <c r="AE11" s="183">
        <v>0</v>
      </c>
      <c r="AF11" s="189">
        <v>0</v>
      </c>
      <c r="AG11" s="202">
        <v>320</v>
      </c>
      <c r="AH11" s="183">
        <v>319</v>
      </c>
      <c r="AI11" s="183">
        <v>321</v>
      </c>
      <c r="AJ11" s="203">
        <v>307</v>
      </c>
      <c r="AK11" s="182">
        <v>0</v>
      </c>
      <c r="AL11" s="183">
        <v>0</v>
      </c>
      <c r="AM11" s="183">
        <v>0</v>
      </c>
      <c r="AN11" s="189">
        <v>0</v>
      </c>
      <c r="AO11" s="259">
        <v>14</v>
      </c>
      <c r="AP11" s="155">
        <v>14</v>
      </c>
      <c r="AQ11" s="155">
        <v>14</v>
      </c>
      <c r="AR11" s="154">
        <v>14</v>
      </c>
      <c r="AS11" s="340" t="s">
        <v>801</v>
      </c>
      <c r="AT11" s="203"/>
      <c r="AU11" s="202"/>
      <c r="AV11" s="203"/>
      <c r="AW11" s="202"/>
      <c r="AX11" s="203"/>
      <c r="AY11" s="126">
        <f t="shared" ref="AY11:BB12" si="1">IF(ISNUMBER(IF(J_V="SI",S11,S11+AG11)),IF(J_V="SI",S11,S11+AG11)," - ")</f>
        <v>6056</v>
      </c>
      <c r="AZ11" s="127">
        <f t="shared" si="1"/>
        <v>3212</v>
      </c>
      <c r="BA11" s="127">
        <f t="shared" si="1"/>
        <v>3813</v>
      </c>
      <c r="BB11" s="127">
        <f t="shared" si="1"/>
        <v>5459</v>
      </c>
      <c r="BC11" s="125">
        <f>IF(ISNUMBER(X11),X11," - ")</f>
        <v>1276</v>
      </c>
      <c r="BD11" s="126">
        <f t="shared" ref="BD11:BD12" si="2">IF(ISNUMBER(BA11/AZ11),BA11/AZ11," - ")</f>
        <v>1.1871108343711083</v>
      </c>
      <c r="BE11" s="127">
        <f t="shared" ref="BE11:BE12" si="3">IF(ISNUMBER(BB11/BA11),BB11/BA11, " - ")</f>
        <v>1.4316810910044584</v>
      </c>
      <c r="BF11" s="127">
        <f t="shared" ref="BF11:BF12" si="4">IF(ISNUMBER(BC11/BA11),BC11/BA11, " - ")</f>
        <v>0.33464463676894834</v>
      </c>
      <c r="BG11" s="196">
        <f t="shared" ref="BG11:BG12" si="5">IF(ISNUMBER((AY11+AZ11)/BA11),(AY11+AZ11)/BA11," - ")</f>
        <v>2.4306320482559665</v>
      </c>
      <c r="BH11" s="155">
        <v>14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275809</v>
      </c>
      <c r="J13" s="184">
        <f t="shared" si="6"/>
        <v>101211</v>
      </c>
      <c r="K13" s="184">
        <f t="shared" si="6"/>
        <v>78752</v>
      </c>
      <c r="L13" s="184">
        <f t="shared" si="6"/>
        <v>299941</v>
      </c>
      <c r="M13" s="184">
        <f t="shared" si="6"/>
        <v>19025</v>
      </c>
      <c r="N13" s="184">
        <f t="shared" si="6"/>
        <v>45649</v>
      </c>
      <c r="O13" s="184">
        <f t="shared" si="6"/>
        <v>22876</v>
      </c>
      <c r="P13" s="184">
        <f t="shared" si="6"/>
        <v>13132</v>
      </c>
      <c r="Q13" s="184">
        <f t="shared" si="6"/>
        <v>9412</v>
      </c>
      <c r="R13" s="184">
        <f t="shared" si="6"/>
        <v>157617</v>
      </c>
      <c r="S13" s="184">
        <f t="shared" si="6"/>
        <v>223401</v>
      </c>
      <c r="T13" s="184">
        <f t="shared" si="6"/>
        <v>59749</v>
      </c>
      <c r="U13" s="184">
        <f t="shared" si="6"/>
        <v>60322</v>
      </c>
      <c r="V13" s="184">
        <f t="shared" si="6"/>
        <v>225209</v>
      </c>
      <c r="W13" s="184">
        <f t="shared" si="6"/>
        <v>17144</v>
      </c>
      <c r="X13" s="184">
        <f t="shared" si="6"/>
        <v>30463</v>
      </c>
      <c r="Y13" s="184">
        <f t="shared" si="6"/>
        <v>2463</v>
      </c>
      <c r="Z13" s="184">
        <f t="shared" si="6"/>
        <v>4570</v>
      </c>
      <c r="AA13" s="184">
        <f t="shared" si="6"/>
        <v>4512</v>
      </c>
      <c r="AB13" s="184">
        <f t="shared" si="6"/>
        <v>2588</v>
      </c>
      <c r="AC13" s="184">
        <f t="shared" si="6"/>
        <v>0</v>
      </c>
      <c r="AD13" s="184">
        <f t="shared" si="6"/>
        <v>0</v>
      </c>
      <c r="AE13" s="184">
        <f t="shared" si="6"/>
        <v>0</v>
      </c>
      <c r="AF13" s="184">
        <f>SUBTOTAL(9,AF9:AF12)</f>
        <v>0</v>
      </c>
      <c r="AG13" s="184">
        <f t="shared" ref="AG13:AT13" si="7">SUBTOTAL(9,AG8:AG12)</f>
        <v>2814</v>
      </c>
      <c r="AH13" s="184">
        <f t="shared" si="7"/>
        <v>4592</v>
      </c>
      <c r="AI13" s="184">
        <f t="shared" si="7"/>
        <v>4841</v>
      </c>
      <c r="AJ13" s="184">
        <f t="shared" si="7"/>
        <v>2658</v>
      </c>
      <c r="AK13" s="184">
        <f t="shared" si="7"/>
        <v>0</v>
      </c>
      <c r="AL13" s="184">
        <f t="shared" si="7"/>
        <v>0</v>
      </c>
      <c r="AM13" s="184">
        <f t="shared" si="7"/>
        <v>0</v>
      </c>
      <c r="AN13" s="184">
        <f t="shared" si="7"/>
        <v>0</v>
      </c>
      <c r="AO13" s="184">
        <f t="shared" si="7"/>
        <v>116</v>
      </c>
      <c r="AP13" s="184">
        <f t="shared" si="7"/>
        <v>116</v>
      </c>
      <c r="AQ13" s="184">
        <f t="shared" si="7"/>
        <v>116</v>
      </c>
      <c r="AR13" s="184">
        <f t="shared" si="7"/>
        <v>116</v>
      </c>
      <c r="AS13" s="184">
        <f t="shared" si="7"/>
        <v>0</v>
      </c>
      <c r="AT13" s="184">
        <f t="shared" si="7"/>
        <v>0</v>
      </c>
      <c r="AU13" s="204"/>
      <c r="AV13" s="132"/>
      <c r="AW13" s="204"/>
      <c r="AX13" s="132"/>
      <c r="AY13" s="184">
        <f>SUBTOTAL(9,AY8:AY12)</f>
        <v>226215</v>
      </c>
      <c r="AZ13" s="184">
        <f>SUBTOTAL(9,AZ8:AZ12)</f>
        <v>64341</v>
      </c>
      <c r="BA13" s="184">
        <f>SUBTOTAL(9,BA8:BA12)</f>
        <v>65163</v>
      </c>
      <c r="BB13" s="184">
        <f>SUBTOTAL(9,BB8:BB12)</f>
        <v>227867</v>
      </c>
      <c r="BC13" s="184">
        <f>SUBTOTAL(9,BC8:BC12)</f>
        <v>30398</v>
      </c>
      <c r="BD13" s="205">
        <f>IF(ISNUMBER(BA13/AZ13),BA13/AZ13," - ")</f>
        <v>1.012775679582226</v>
      </c>
      <c r="BE13" s="206">
        <f>IF(ISNUMBER(BB13/BA13),BB13/BA13, " - ")</f>
        <v>3.4968770621364884</v>
      </c>
      <c r="BF13" s="206">
        <f>IF(ISNUMBER(BC13/BA13),BC13/BA13, " - ")</f>
        <v>0.46649172076178197</v>
      </c>
      <c r="BG13" s="207">
        <f>IF(ISNUMBER((AY13+AZ13)/BA13),(AY13+AZ13)/BA13," - ")</f>
        <v>4.4589107315501124</v>
      </c>
      <c r="BH13" s="140">
        <f>SUBTOTAL(9,BH8:BH12)</f>
        <v>116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39858</v>
      </c>
      <c r="J15" s="183">
        <v>44141</v>
      </c>
      <c r="K15" s="183">
        <v>46887</v>
      </c>
      <c r="L15" s="183">
        <v>38416</v>
      </c>
      <c r="M15" s="183">
        <v>6806</v>
      </c>
      <c r="N15" s="183">
        <v>25058</v>
      </c>
      <c r="O15" s="181">
        <v>1750</v>
      </c>
      <c r="P15" s="183">
        <v>2548</v>
      </c>
      <c r="Q15" s="183">
        <v>2664</v>
      </c>
      <c r="R15" s="183">
        <v>4127</v>
      </c>
      <c r="S15" s="183">
        <v>35746</v>
      </c>
      <c r="T15" s="183">
        <v>46324</v>
      </c>
      <c r="U15" s="183">
        <v>45515</v>
      </c>
      <c r="V15" s="183">
        <v>37823</v>
      </c>
      <c r="W15" s="183">
        <v>6548</v>
      </c>
      <c r="X15" s="189">
        <v>25745</v>
      </c>
      <c r="Y15" s="202">
        <v>0</v>
      </c>
      <c r="Z15" s="183">
        <v>0</v>
      </c>
      <c r="AA15" s="183">
        <v>0</v>
      </c>
      <c r="AB15" s="183">
        <v>0</v>
      </c>
      <c r="AC15" s="183">
        <v>372</v>
      </c>
      <c r="AD15" s="183">
        <v>9330</v>
      </c>
      <c r="AE15" s="183">
        <v>9260</v>
      </c>
      <c r="AF15" s="189">
        <v>442</v>
      </c>
      <c r="AG15" s="202">
        <v>0</v>
      </c>
      <c r="AH15" s="183">
        <v>0</v>
      </c>
      <c r="AI15" s="183">
        <v>0</v>
      </c>
      <c r="AJ15" s="203">
        <v>0</v>
      </c>
      <c r="AK15" s="182">
        <v>412</v>
      </c>
      <c r="AL15" s="183">
        <v>7806</v>
      </c>
      <c r="AM15" s="183">
        <v>7691</v>
      </c>
      <c r="AN15" s="189">
        <v>398</v>
      </c>
      <c r="AO15" s="259">
        <v>54</v>
      </c>
      <c r="AP15" s="155">
        <v>54</v>
      </c>
      <c r="AQ15" s="155">
        <v>54</v>
      </c>
      <c r="AR15" s="155">
        <v>54</v>
      </c>
      <c r="AS15" s="340" t="s">
        <v>527</v>
      </c>
      <c r="AT15" s="203" t="s">
        <v>326</v>
      </c>
      <c r="AU15" s="202"/>
      <c r="AV15" s="203"/>
      <c r="AW15" s="202"/>
      <c r="AX15" s="203"/>
      <c r="AY15" s="128">
        <f t="shared" ref="AY15:BB16" si="9">IF(ISNUMBER(IF(D_I="SI",S15,S15+AK15)),IF(D_I="SI",S15,S15+AK15)," - ")</f>
        <v>35746</v>
      </c>
      <c r="AZ15" s="129">
        <f t="shared" si="9"/>
        <v>46324</v>
      </c>
      <c r="BA15" s="129">
        <f t="shared" si="9"/>
        <v>45515</v>
      </c>
      <c r="BB15" s="129">
        <f t="shared" si="9"/>
        <v>37823</v>
      </c>
      <c r="BC15" s="125">
        <f>IF(ISNUMBER(W15),W15," - ")</f>
        <v>6548</v>
      </c>
      <c r="BD15" s="126">
        <f>IF(ISNUMBER(BA15/AZ15),BA15/AZ15," - ")</f>
        <v>0.9825360504274242</v>
      </c>
      <c r="BE15" s="127">
        <f>IF(ISNUMBER(BB15/BA15),BB15/BA15, " - ")</f>
        <v>0.83100076897726027</v>
      </c>
      <c r="BF15" s="127">
        <f>IF(ISNUMBER(BC15/BA15),BC15/BA15, " - ")</f>
        <v>0.14386466000219708</v>
      </c>
      <c r="BG15" s="196">
        <f t="shared" ref="BG15:BG16" si="10">IF(ISNUMBER((AY15+AZ15)/BA15),(AY15+AZ15)/BA15," - ")</f>
        <v>1.8031418213775678</v>
      </c>
      <c r="BH15" s="155">
        <v>54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3565</v>
      </c>
      <c r="J17" s="183">
        <v>5939</v>
      </c>
      <c r="K17" s="183">
        <v>6370</v>
      </c>
      <c r="L17" s="183">
        <v>3333</v>
      </c>
      <c r="M17" s="183">
        <v>83</v>
      </c>
      <c r="N17" s="183">
        <v>4401</v>
      </c>
      <c r="O17" s="183">
        <v>3</v>
      </c>
      <c r="P17" s="183">
        <v>24</v>
      </c>
      <c r="Q17" s="183">
        <v>10</v>
      </c>
      <c r="R17" s="183">
        <v>33</v>
      </c>
      <c r="S17" s="183">
        <v>3169</v>
      </c>
      <c r="T17" s="183">
        <v>5901</v>
      </c>
      <c r="U17" s="183">
        <v>5981</v>
      </c>
      <c r="V17" s="183">
        <v>3239</v>
      </c>
      <c r="W17" s="183">
        <v>53</v>
      </c>
      <c r="X17" s="189">
        <v>4019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11</v>
      </c>
      <c r="AP17" s="155">
        <v>11</v>
      </c>
      <c r="AQ17" s="154">
        <v>11</v>
      </c>
      <c r="AR17" s="155">
        <v>11</v>
      </c>
      <c r="AS17" s="339" t="s">
        <v>792</v>
      </c>
      <c r="AT17" s="209"/>
      <c r="AU17" s="200"/>
      <c r="AV17" s="209"/>
      <c r="AW17" s="200"/>
      <c r="AX17" s="209"/>
      <c r="AY17" s="128">
        <f t="shared" ref="AY17:BB17" si="14">IF(ISNUMBER(S17),S17," - ")</f>
        <v>3169</v>
      </c>
      <c r="AZ17" s="129">
        <f t="shared" si="14"/>
        <v>5901</v>
      </c>
      <c r="BA17" s="129">
        <f t="shared" si="14"/>
        <v>5981</v>
      </c>
      <c r="BB17" s="129">
        <f t="shared" si="14"/>
        <v>3239</v>
      </c>
      <c r="BC17" s="125">
        <f>IF(ISNUMBER(W17),W17," - ")</f>
        <v>53</v>
      </c>
      <c r="BD17" s="126">
        <f>IF(ISNUMBER(BA17/AZ17),BA17/AZ17," - ")</f>
        <v>1.0135570242331808</v>
      </c>
      <c r="BE17" s="127">
        <f>IF(ISNUMBER(BB17/BA17),BB17/BA17, " - ")</f>
        <v>0.54154823608092295</v>
      </c>
      <c r="BF17" s="127">
        <f>IF(ISNUMBER(BC17/BA17),BC17/BA17, " - ")</f>
        <v>8.8613944156495563E-3</v>
      </c>
      <c r="BG17" s="196">
        <f>IF(ISNUMBER((AY17+AZ17)/BA17),(AY17+AZ17)/BA17," - ")</f>
        <v>1.5164688179234243</v>
      </c>
      <c r="BH17" s="155">
        <v>11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43423</v>
      </c>
      <c r="J18" s="184">
        <f t="shared" si="15"/>
        <v>50080</v>
      </c>
      <c r="K18" s="184">
        <f t="shared" si="15"/>
        <v>53257</v>
      </c>
      <c r="L18" s="184">
        <f t="shared" si="15"/>
        <v>41749</v>
      </c>
      <c r="M18" s="184">
        <f t="shared" si="15"/>
        <v>6889</v>
      </c>
      <c r="N18" s="184">
        <f t="shared" si="15"/>
        <v>29459</v>
      </c>
      <c r="O18" s="184">
        <f t="shared" si="15"/>
        <v>1753</v>
      </c>
      <c r="P18" s="184">
        <f t="shared" si="15"/>
        <v>2572</v>
      </c>
      <c r="Q18" s="184">
        <f t="shared" si="15"/>
        <v>2674</v>
      </c>
      <c r="R18" s="184">
        <f t="shared" si="15"/>
        <v>4160</v>
      </c>
      <c r="S18" s="184">
        <f t="shared" si="15"/>
        <v>38915</v>
      </c>
      <c r="T18" s="184">
        <f t="shared" si="15"/>
        <v>52225</v>
      </c>
      <c r="U18" s="184">
        <f t="shared" si="15"/>
        <v>51496</v>
      </c>
      <c r="V18" s="184">
        <f t="shared" si="15"/>
        <v>41062</v>
      </c>
      <c r="W18" s="184">
        <f t="shared" si="15"/>
        <v>6601</v>
      </c>
      <c r="X18" s="184">
        <f t="shared" si="15"/>
        <v>29764</v>
      </c>
      <c r="Y18" s="184">
        <f t="shared" si="15"/>
        <v>0</v>
      </c>
      <c r="Z18" s="184">
        <f t="shared" si="15"/>
        <v>0</v>
      </c>
      <c r="AA18" s="184">
        <f t="shared" si="15"/>
        <v>0</v>
      </c>
      <c r="AB18" s="184">
        <f t="shared" si="15"/>
        <v>0</v>
      </c>
      <c r="AC18" s="184">
        <f t="shared" si="15"/>
        <v>372</v>
      </c>
      <c r="AD18" s="184">
        <f t="shared" si="15"/>
        <v>9330</v>
      </c>
      <c r="AE18" s="184">
        <f t="shared" si="15"/>
        <v>9260</v>
      </c>
      <c r="AF18" s="184">
        <f t="shared" si="15"/>
        <v>442</v>
      </c>
      <c r="AG18" s="184">
        <f t="shared" si="15"/>
        <v>0</v>
      </c>
      <c r="AH18" s="184">
        <f t="shared" si="15"/>
        <v>0</v>
      </c>
      <c r="AI18" s="184">
        <f t="shared" si="15"/>
        <v>0</v>
      </c>
      <c r="AJ18" s="184">
        <f t="shared" si="15"/>
        <v>0</v>
      </c>
      <c r="AK18" s="184">
        <f t="shared" si="15"/>
        <v>412</v>
      </c>
      <c r="AL18" s="184">
        <f t="shared" si="15"/>
        <v>7806</v>
      </c>
      <c r="AM18" s="184">
        <f t="shared" si="15"/>
        <v>7691</v>
      </c>
      <c r="AN18" s="184">
        <f t="shared" si="15"/>
        <v>398</v>
      </c>
      <c r="AO18" s="184">
        <f t="shared" si="15"/>
        <v>65</v>
      </c>
      <c r="AP18" s="184">
        <f t="shared" si="15"/>
        <v>65</v>
      </c>
      <c r="AQ18" s="184">
        <f t="shared" si="15"/>
        <v>65</v>
      </c>
      <c r="AR18" s="184">
        <f t="shared" si="15"/>
        <v>65</v>
      </c>
      <c r="AS18" s="184">
        <f t="shared" si="15"/>
        <v>0</v>
      </c>
      <c r="AT18" s="184">
        <f t="shared" si="15"/>
        <v>0</v>
      </c>
      <c r="AU18" s="204"/>
      <c r="AV18" s="132"/>
      <c r="AW18" s="204"/>
      <c r="AX18" s="132"/>
      <c r="AY18" s="184">
        <f>SUBTOTAL(9,AY14:AY17)</f>
        <v>38915</v>
      </c>
      <c r="AZ18" s="184">
        <f>SUBTOTAL(9,AZ14:AZ17)</f>
        <v>52225</v>
      </c>
      <c r="BA18" s="184">
        <f>SUBTOTAL(9,BA14:BA17)</f>
        <v>51496</v>
      </c>
      <c r="BB18" s="184">
        <f>SUBTOTAL(9,BB14:BB17)</f>
        <v>41062</v>
      </c>
      <c r="BC18" s="184">
        <f>SUBTOTAL(9,BC14:BC17)</f>
        <v>6601</v>
      </c>
      <c r="BD18" s="205">
        <f>IF(ISNUMBER(BA18/AZ18),BA18/AZ18," - ")</f>
        <v>0.98604116802297748</v>
      </c>
      <c r="BE18" s="206">
        <f>IF(ISNUMBER(BB18/BA18),BB18/BA18, " - ")</f>
        <v>0.79738232095696748</v>
      </c>
      <c r="BF18" s="206">
        <f>IF(ISNUMBER(BC18/BA18),BC18/BA18, " - ")</f>
        <v>0.12818471337579618</v>
      </c>
      <c r="BG18" s="207">
        <f>IF(ISNUMBER((AY18+AZ18)/BA18),(AY18+AZ18)/BA18," - ")</f>
        <v>1.7698462016467298</v>
      </c>
      <c r="BH18" s="184">
        <f>SUBTOTAL(9,BH14:BH17)</f>
        <v>65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319232</v>
      </c>
      <c r="J19" s="134">
        <f t="shared" si="18"/>
        <v>151291</v>
      </c>
      <c r="K19" s="134">
        <f t="shared" si="18"/>
        <v>132009</v>
      </c>
      <c r="L19" s="134">
        <f t="shared" si="18"/>
        <v>341690</v>
      </c>
      <c r="M19" s="134">
        <f t="shared" si="18"/>
        <v>25914</v>
      </c>
      <c r="N19" s="134">
        <f t="shared" si="18"/>
        <v>75108</v>
      </c>
      <c r="O19" s="134">
        <f t="shared" si="18"/>
        <v>24629</v>
      </c>
      <c r="P19" s="134">
        <f t="shared" si="18"/>
        <v>15704</v>
      </c>
      <c r="Q19" s="134">
        <f t="shared" si="18"/>
        <v>12086</v>
      </c>
      <c r="R19" s="134">
        <f t="shared" si="18"/>
        <v>161777</v>
      </c>
      <c r="S19" s="134">
        <f t="shared" si="18"/>
        <v>262316</v>
      </c>
      <c r="T19" s="134">
        <f t="shared" si="18"/>
        <v>111974</v>
      </c>
      <c r="U19" s="134">
        <f t="shared" si="18"/>
        <v>111818</v>
      </c>
      <c r="V19" s="134">
        <f t="shared" si="18"/>
        <v>266271</v>
      </c>
      <c r="W19" s="134">
        <f t="shared" si="18"/>
        <v>23745</v>
      </c>
      <c r="X19" s="134">
        <f t="shared" si="18"/>
        <v>60227</v>
      </c>
      <c r="Y19" s="134">
        <f t="shared" si="18"/>
        <v>2463</v>
      </c>
      <c r="Z19" s="134">
        <f t="shared" si="18"/>
        <v>4570</v>
      </c>
      <c r="AA19" s="134">
        <f t="shared" si="18"/>
        <v>4512</v>
      </c>
      <c r="AB19" s="134">
        <f t="shared" si="18"/>
        <v>2588</v>
      </c>
      <c r="AC19" s="134">
        <f t="shared" si="18"/>
        <v>372</v>
      </c>
      <c r="AD19" s="134">
        <f t="shared" si="18"/>
        <v>9330</v>
      </c>
      <c r="AE19" s="134">
        <f t="shared" si="18"/>
        <v>9260</v>
      </c>
      <c r="AF19" s="134">
        <f t="shared" si="18"/>
        <v>442</v>
      </c>
      <c r="AG19" s="134">
        <f t="shared" si="18"/>
        <v>2814</v>
      </c>
      <c r="AH19" s="134">
        <f t="shared" si="18"/>
        <v>4592</v>
      </c>
      <c r="AI19" s="134">
        <f t="shared" si="18"/>
        <v>4841</v>
      </c>
      <c r="AJ19" s="134">
        <f t="shared" si="18"/>
        <v>2658</v>
      </c>
      <c r="AK19" s="134">
        <f t="shared" si="18"/>
        <v>412</v>
      </c>
      <c r="AL19" s="134">
        <f t="shared" si="18"/>
        <v>7806</v>
      </c>
      <c r="AM19" s="134">
        <f t="shared" si="18"/>
        <v>7691</v>
      </c>
      <c r="AN19" s="210">
        <f t="shared" si="18"/>
        <v>398</v>
      </c>
      <c r="AO19" s="211">
        <v>170</v>
      </c>
      <c r="AP19" s="211">
        <v>170</v>
      </c>
      <c r="AQ19" s="211">
        <v>170</v>
      </c>
      <c r="AR19" s="211">
        <v>170</v>
      </c>
      <c r="AS19" s="153">
        <f t="shared" si="18"/>
        <v>0</v>
      </c>
      <c r="AT19" s="153">
        <f t="shared" si="18"/>
        <v>0</v>
      </c>
      <c r="AU19" s="211"/>
      <c r="AV19" s="212"/>
      <c r="AW19" s="211"/>
      <c r="AX19" s="212"/>
      <c r="AY19" s="133">
        <f>SUBTOTAL(9,AY9:AY18)</f>
        <v>265130</v>
      </c>
      <c r="AZ19" s="134">
        <f>SUBTOTAL(9,AZ9:AZ18)</f>
        <v>116566</v>
      </c>
      <c r="BA19" s="134">
        <f>SUBTOTAL(9,BA9:BA18)</f>
        <v>116659</v>
      </c>
      <c r="BB19" s="134">
        <f>SUBTOTAL(9,BB9:BB18)</f>
        <v>268929</v>
      </c>
      <c r="BC19" s="135">
        <f>SUBTOTAL(9,BC9:BC18)</f>
        <v>36999</v>
      </c>
      <c r="BD19" s="213">
        <f>IF(ISNUMBER(BA19/AZ19),BA19/AZ19," - ")</f>
        <v>1.0007978312715544</v>
      </c>
      <c r="BE19" s="210">
        <f>IF(ISNUMBER(BB19/BA19),BB19/BA19, " - ")</f>
        <v>2.305257202616172</v>
      </c>
      <c r="BF19" s="210">
        <f>IF(ISNUMBER(BC19/BA19),BC19/BA19, " - ")</f>
        <v>0.31715512733693929</v>
      </c>
      <c r="BG19" s="135">
        <f>IF(ISNUMBER((AY19+AZ19)/BA19),(AY19+AZ19)/BA19," - ")</f>
        <v>3.2718950102435302</v>
      </c>
      <c r="BH19" s="211">
        <f>SUBTOTAL(9,BH9:BH18)</f>
        <v>181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nkVUcjHiTNiFKIFP9sgOa8+wZV92kdjwpQaliqAo7SwtLlg/I1FTBKOsoo2ap85hhkscbT3tQ0j+w0qUHlGKg==" saltValue="jmjYN+XKOQpsH7lsH8IR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87R+2ytakQDzjX1ADhgUPewRNxK7MX5+w+SP3Jww2KDQ2FBnY6a9dncbY9qzCCEAIrNAQMgeUxZ/i2Qi+reBw==" saltValue="mMWeP5pwa0p86agScKLd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91</v>
      </c>
      <c r="B9" s="501" t="s">
        <v>246</v>
      </c>
      <c r="C9" s="160" t="str">
        <f>Datos!A9</f>
        <v xml:space="preserve">Jdos. 1ª Instancia   </v>
      </c>
      <c r="D9" s="502"/>
      <c r="E9" s="260">
        <f>IF(ISNUMBER(Datos!AQ9),Datos!AQ9," - ")</f>
        <v>91</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4195</v>
      </c>
      <c r="O9" s="334"/>
      <c r="P9" s="334"/>
      <c r="Q9" s="226">
        <f>IF(ISNUMBER(Datos!P9),Datos!P9,0)</f>
        <v>12465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8800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2207</v>
      </c>
      <c r="AI9" s="334" t="str">
        <f>IF(ISNUMBER(Datos!CD9),Datos!CD9,"-")</f>
        <v>-</v>
      </c>
      <c r="AJ9" s="334" t="str">
        <f>IF(ISNUMBER(Datos!EN9),Datos!EN9," - ")</f>
        <v xml:space="preserve"> - </v>
      </c>
      <c r="AK9" s="334"/>
      <c r="AL9" s="479"/>
      <c r="AM9" s="335">
        <f>IF(ISNUMBER(Datos!R9),Datos!R9," - ")</f>
        <v>151800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16927</v>
      </c>
      <c r="BD9" s="229">
        <f>IF(ISNUMBER(Datos!N9),Datos!N9," - ")</f>
        <v>44075</v>
      </c>
      <c r="BE9" s="229" t="str">
        <f>IF(ISNUMBER(Datos!BW9),Datos!BW9," - ")</f>
        <v xml:space="preserve"> - </v>
      </c>
      <c r="BF9" s="228" t="str">
        <f>IF(ISNUMBER(Datos!BX9),Datos!BX9," - ")</f>
        <v xml:space="preserve"> - </v>
      </c>
      <c r="BG9" s="243">
        <f>IF(ISNUMBER(IF(J_V="SI",Datos!K9/Datos!J9,(Datos!K9+Datos!AA9)/(Datos!J9+Datos!Z9))),IF(J_V="SI",Datos!K9/Datos!J9,(Datos!K9+Datos!AA9)/(Datos!J9+Datos!Z9))," - ")</f>
        <v>0.77722708484085523</v>
      </c>
      <c r="BH9" s="260">
        <f>IF(ISNUMBER(((IF(J_V="SI",Datos!L9/Datos!K9,(Datos!L9+Datos!AB9)/(Datos!K9+Datos!AA9)))*11)/factor_trimestre),((IF(J_V="SI",Datos!L9/Datos!K9,(Datos!L9+Datos!AB9)/(Datos!K9+Datos!AA9)))*11)/factor_trimestre," - ")</f>
        <v>11.303536583810534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2.4740945758936105E-2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11</v>
      </c>
      <c r="B10" s="507" t="s">
        <v>246</v>
      </c>
      <c r="C10" s="7" t="str">
        <f>Datos!A10</f>
        <v>Jdos. Violencia contra la mujer</v>
      </c>
      <c r="D10" s="508"/>
      <c r="E10" s="260">
        <f>IF(ISNUMBER(Datos!AQ10),Datos!AQ10," - ")</f>
        <v>11</v>
      </c>
      <c r="F10" s="225">
        <f>IF(ISNUMBER(Datos!L10+Datos!K10-Datos!J10),Datos!L10+Datos!K10-Datos!J10," - ")</f>
        <v>1002</v>
      </c>
      <c r="G10" s="333">
        <f>IF(ISNUMBER(Datos!I10),Datos!I10," - ")</f>
        <v>1003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509</v>
      </c>
      <c r="AC10" s="226">
        <f>IF(ISNUMBER(Datos!Q10),Datos!Q10," - ")</f>
        <v>52</v>
      </c>
      <c r="AD10" s="334"/>
      <c r="AE10" s="484"/>
      <c r="AF10" s="332">
        <f>IF(ISNUMBER(Datos!L10),Datos!L10,"-")</f>
        <v>1074</v>
      </c>
      <c r="AG10" s="334"/>
      <c r="AH10" s="334"/>
      <c r="AI10" s="334"/>
      <c r="AJ10" s="334"/>
      <c r="AK10" s="334"/>
      <c r="AL10" s="479"/>
      <c r="AM10" s="335">
        <f>IF(ISNUMBER(Datos!R10),Datos!R10," - ")</f>
        <v>1032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188</v>
      </c>
      <c r="BD10" s="229">
        <f>IF(ISNUMBER(Datos!N10),Datos!N10," - ")</f>
        <v>225</v>
      </c>
      <c r="BE10" s="229" t="str">
        <f>IF(ISNUMBER(Datos!BW10),Datos!BW10," - ")</f>
        <v xml:space="preserve"> - </v>
      </c>
      <c r="BF10" s="228" t="str">
        <f>IF(ISNUMBER(Datos!BX10),Datos!BX10," - ")</f>
        <v xml:space="preserve"> - </v>
      </c>
      <c r="BG10" s="243">
        <f>IF(ISNUMBER(Datos!K10/Datos!J10),Datos!K10/Datos!J10," - ")</f>
        <v>0.87607573149741824</v>
      </c>
      <c r="BH10" s="260">
        <f>IF(ISNUMBER(((Datos!L10/Datos!K10)*11)/factor_trimestre),((Datos!L10/Datos!K10)*11)/factor_trimestre," - ")</f>
        <v>6.3300589390962676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3.5105315947843531E-2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14</v>
      </c>
      <c r="B11" s="507" t="s">
        <v>246</v>
      </c>
      <c r="C11" s="7" t="str">
        <f>Datos!A11</f>
        <v xml:space="preserve">Jdos. Familia                                   </v>
      </c>
      <c r="D11" s="508"/>
      <c r="E11" s="260">
        <f>IF(ISNUMBER(Datos!AQ11),Datos!AQ11," - ")</f>
        <v>14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375</v>
      </c>
      <c r="O11" s="334"/>
      <c r="P11" s="334"/>
      <c r="Q11" s="226">
        <f>IF(ISNUMBER(Datos!P11),Datos!P11,0)</f>
        <v>580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560</v>
      </c>
      <c r="AD11" s="334"/>
      <c r="AE11" s="484"/>
      <c r="AF11" s="332" t="str">
        <f>IF(ISNUMBER(IF(J_V="SI",Datos!L11,Datos!L11+Datos!AB11)-IF(Monitorios="SI",Datos!CD11,0)),
                          IF(J_V="SI",Datos!L11,Datos!L11+Datos!AB11)-IF(Monitorios="SI",Datos!CD11,0),
                          " - ")</f>
        <v xml:space="preserve"> - </v>
      </c>
      <c r="AG11" s="334"/>
      <c r="AH11" s="334">
        <f>IF(ISNUMBER(Datos!AB11),Datos!AB11,"-")</f>
        <v>381</v>
      </c>
      <c r="AI11" s="334"/>
      <c r="AJ11" s="334"/>
      <c r="AK11" s="334"/>
      <c r="AL11" s="479"/>
      <c r="AM11" s="335">
        <f>IF(ISNUMBER(Datos!R11),Datos!R11," - ")</f>
        <v>4785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1910</v>
      </c>
      <c r="BD11" s="229">
        <f>IF(ISNUMBER(Datos!N11),Datos!N11," - ")</f>
        <v>1349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1.0067176279823953</v>
      </c>
      <c r="BH11" s="260">
        <f>IF(ISNUMBER(((IF(J_V="SI",Datos!L11/Datos!K11,(Datos!L11+Datos!AB11)/(Datos!K11+Datos!AA11)))*11)/factor_trimestre),((IF(J_V="SI",Datos!L11/Datos!K11,(Datos!L11+Datos!AB11)/(Datos!K11+Datos!AA11)))*11)/factor_trimestre," - ")</f>
        <v>4.156925908881731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4.1972717733473244E-3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116</v>
      </c>
      <c r="F13" s="898">
        <f t="shared" si="0"/>
        <v>1002</v>
      </c>
      <c r="G13" s="898">
        <f t="shared" si="0"/>
        <v>1003</v>
      </c>
      <c r="H13" s="899">
        <f t="shared" si="0"/>
        <v>0</v>
      </c>
      <c r="I13" s="898">
        <f t="shared" si="0"/>
        <v>0</v>
      </c>
      <c r="J13" s="867">
        <f t="shared" si="0"/>
        <v>0</v>
      </c>
      <c r="K13" s="867">
        <f t="shared" si="0"/>
        <v>0</v>
      </c>
      <c r="L13" s="899">
        <f t="shared" si="0"/>
        <v>0</v>
      </c>
      <c r="M13" s="899">
        <f t="shared" si="0"/>
        <v>0</v>
      </c>
      <c r="N13" s="899">
        <f t="shared" si="0"/>
        <v>4570</v>
      </c>
      <c r="O13" s="900">
        <f t="shared" si="0"/>
        <v>0</v>
      </c>
      <c r="P13" s="900">
        <f t="shared" si="0"/>
        <v>0</v>
      </c>
      <c r="Q13" s="899">
        <f t="shared" si="0"/>
        <v>13132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509</v>
      </c>
      <c r="AC13" s="899">
        <f t="shared" si="1"/>
        <v>9412</v>
      </c>
      <c r="AD13" s="899">
        <f t="shared" si="1"/>
        <v>0</v>
      </c>
      <c r="AE13" s="899">
        <f t="shared" si="1"/>
        <v>0</v>
      </c>
      <c r="AF13" s="899">
        <f t="shared" si="1"/>
        <v>1074</v>
      </c>
      <c r="AG13" s="899">
        <f t="shared" si="1"/>
        <v>0</v>
      </c>
      <c r="AH13" s="899">
        <f t="shared" si="1"/>
        <v>2588</v>
      </c>
      <c r="AI13" s="899">
        <f t="shared" si="1"/>
        <v>0</v>
      </c>
      <c r="AJ13" s="899">
        <f t="shared" si="1"/>
        <v>0</v>
      </c>
      <c r="AK13" s="899">
        <f t="shared" si="1"/>
        <v>0</v>
      </c>
      <c r="AL13" s="899">
        <f t="shared" si="1"/>
        <v>0</v>
      </c>
      <c r="AM13" s="899">
        <f t="shared" si="1"/>
        <v>157617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19025</v>
      </c>
      <c r="BD13" s="899">
        <f t="shared" si="1"/>
        <v>45649</v>
      </c>
      <c r="BE13" s="899">
        <f t="shared" si="1"/>
        <v>0</v>
      </c>
      <c r="BF13" s="899">
        <f t="shared" si="1"/>
        <v>0</v>
      </c>
      <c r="BG13" s="899">
        <f>IF(ISNUMBER(Datos!K13/Datos!J13),Datos!K13/Datos!J13," - ")</f>
        <v>0.77809724239460143</v>
      </c>
      <c r="BH13" s="903">
        <f>IF(ISNUMBER(((Datos!L13/Datos!K13)*11)/factor_trimestre),((Datos!L13/Datos!K13)*11)/factor_trimestre," - ")</f>
        <v>11.426033624542869</v>
      </c>
      <c r="BI13" s="899">
        <f>IF(ISNUMBER('Resol  Asuntos'!D13/NºAsuntos!G13),'Resol  Asuntos'!D13/NºAsuntos!G13," - ")</f>
        <v>0.22849010376633358</v>
      </c>
      <c r="BJ13" s="899" t="str">
        <f>IF(ISNUMBER(Datos!CI13/Datos!CJ13),Datos!CI13/Datos!CJ13," - ")</f>
        <v xml:space="preserve"> - </v>
      </c>
      <c r="BK13" s="899">
        <f>SUBTOTAL(9,BK8:BK12)</f>
        <v>0</v>
      </c>
      <c r="BL13" s="899">
        <f>IF(ISNUMBER((I13-AB13+L13)/(F13)),(I13-AB13+L13)/(F13)," - ")</f>
        <v>-0.50798403193612773</v>
      </c>
      <c r="BM13" s="904">
        <f>SUBTOTAL(9,BM9:BM12)</f>
        <v>6.4043533480126952E-2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54</v>
      </c>
      <c r="B15" s="594" t="s">
        <v>396</v>
      </c>
      <c r="C15" s="600" t="str">
        <f>Datos!A15</f>
        <v xml:space="preserve">Jdos. Instrucción                               </v>
      </c>
      <c r="D15" s="601"/>
      <c r="E15" s="1165">
        <f>IF(ISNUMBER(Datos!AQ15),Datos!AQ15," - ")</f>
        <v>54</v>
      </c>
      <c r="F15" s="595">
        <f>IF(ISNUMBER(AF15+AB15-Datos!J15-L15),AF15+AB15-Datos!J15-L15," - ")</f>
        <v>41162</v>
      </c>
      <c r="G15" s="598">
        <f>IF(ISNUMBER(IF(D_I="SI",Datos!I15,Datos!I15+Datos!AC15)),IF(D_I="SI",Datos!I15,Datos!I15+Datos!AC15)," - ")</f>
        <v>39858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2548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46887</v>
      </c>
      <c r="AC15" s="226">
        <f>IF(ISNUMBER(Datos!Q15),Datos!Q15," - ")</f>
        <v>2664</v>
      </c>
      <c r="AD15" s="334"/>
      <c r="AE15" s="484"/>
      <c r="AF15" s="596">
        <f>IF(ISNUMBER(IF(D_I="SI",Datos!L15,Datos!L15+Datos!AF15)),IF(D_I="SI",Datos!L15,Datos!L15+Datos!AF15)," - ")</f>
        <v>38416</v>
      </c>
      <c r="AG15" s="334"/>
      <c r="AH15" s="334"/>
      <c r="AI15" s="334"/>
      <c r="AJ15" s="334"/>
      <c r="AK15" s="334"/>
      <c r="AL15" s="479"/>
      <c r="AM15" s="335">
        <f>IF(ISNUMBER(Datos!R15),Datos!R15," - ")</f>
        <v>4127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6806</v>
      </c>
      <c r="BD15" s="229">
        <f>IF(ISNUMBER(Datos!N15),Datos!N15," - ")</f>
        <v>25058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1.0622097369792256</v>
      </c>
      <c r="BH15" s="260">
        <f>IF(ISNUMBER(((IF(D_I="SI",Datos!L15/Datos!K15,(Datos!L15+Datos!AF15)/(Datos!K15+Datos!AE15)))*11)/factor_trimestre),((IF(D_I="SI",Datos!L15/Datos!K15,(Datos!L15+Datos!AF15)/(Datos!K15+Datos!AE15)))*11)/factor_trimestre," - ")</f>
        <v>2.4579947533431441</v>
      </c>
      <c r="BI15" s="243">
        <f>IF(ISNUMBER('Resol  Asuntos'!D15/NºAsuntos!G15),'Resol  Asuntos'!D15/NºAsuntos!G15," - ")</f>
        <v>0.14515750634504235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11</v>
      </c>
      <c r="B17" s="507" t="s">
        <v>396</v>
      </c>
      <c r="C17" s="7" t="str">
        <f>Datos!A17</f>
        <v>Jdos. Violencia contra la mujer</v>
      </c>
      <c r="D17" s="508"/>
      <c r="E17" s="1025">
        <f>IF(ISNUMBER(Datos!AQ17),Datos!AQ17," - ")</f>
        <v>11</v>
      </c>
      <c r="F17" s="225" t="str">
        <f>IF(ISNUMBER(AF17+AB17-I17-L17),AF17+AB17-I17-L17," - ")</f>
        <v xml:space="preserve"> - </v>
      </c>
      <c r="G17" s="333">
        <f>IF(ISNUMBER(IF(D_I="SI",Datos!I17,Datos!I17+Datos!AC17)),IF(D_I="SI",Datos!I17,Datos!I17+Datos!AC17)," - ")</f>
        <v>3565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6370</v>
      </c>
      <c r="AC17" s="226">
        <f>IF(ISNUMBER(Datos!Q17),Datos!Q17," - ")</f>
        <v>10</v>
      </c>
      <c r="AD17" s="334"/>
      <c r="AE17" s="484"/>
      <c r="AF17" s="332">
        <f>IF(ISNUMBER(Datos!L17),Datos!L17,"-")</f>
        <v>3333</v>
      </c>
      <c r="AG17" s="334"/>
      <c r="AH17" s="334"/>
      <c r="AI17" s="334"/>
      <c r="AJ17" s="334"/>
      <c r="AK17" s="334"/>
      <c r="AL17" s="479"/>
      <c r="AM17" s="335">
        <f>IF(ISNUMBER(Datos!R17),Datos!R17," - ")</f>
        <v>33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83</v>
      </c>
      <c r="BD17" s="229">
        <f>IF(ISNUMBER(Datos!N17),Datos!N17," - ")</f>
        <v>4401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1.0725711399225459</v>
      </c>
      <c r="BH17" s="260">
        <f>IF(ISNUMBER(((IF(D_I="SI",Datos!L17/Datos!K17,(Datos!L17+Datos!AF17)/(Datos!K17+Datos!AE17)))*11)/factor_trimestre),((IF(D_I="SI",Datos!L17/Datos!K17,(Datos!L17+Datos!AF17)/(Datos!K17+Datos!AE17)))*11)/factor_trimestre," - ")</f>
        <v>1.5697017268445841</v>
      </c>
      <c r="BI17" s="243">
        <f>IF(ISNUMBER('Resol  Asuntos'!D17/NºAsuntos!G17),'Resol  Asuntos'!D17/NºAsuntos!G17," - ")</f>
        <v>1.3029827315541601E-2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65</v>
      </c>
      <c r="F18" s="898">
        <f>SUBTOTAL(9,F15:F17)</f>
        <v>41162</v>
      </c>
      <c r="G18" s="898">
        <f>SUBTOTAL(9,G15:G17)</f>
        <v>43423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2572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53257</v>
      </c>
      <c r="AC18" s="899">
        <f t="shared" si="4"/>
        <v>2674</v>
      </c>
      <c r="AD18" s="899">
        <f t="shared" si="4"/>
        <v>0</v>
      </c>
      <c r="AE18" s="899">
        <f t="shared" si="4"/>
        <v>0</v>
      </c>
      <c r="AF18" s="899">
        <f t="shared" si="4"/>
        <v>41749</v>
      </c>
      <c r="AG18" s="899">
        <f t="shared" si="4"/>
        <v>0</v>
      </c>
      <c r="AH18" s="899">
        <f t="shared" si="4"/>
        <v>0</v>
      </c>
      <c r="AI18" s="899">
        <f t="shared" si="4"/>
        <v>0</v>
      </c>
      <c r="AJ18" s="899">
        <f t="shared" si="4"/>
        <v>0</v>
      </c>
      <c r="AK18" s="899">
        <f t="shared" si="4"/>
        <v>0</v>
      </c>
      <c r="AL18" s="899">
        <f t="shared" si="4"/>
        <v>0</v>
      </c>
      <c r="AM18" s="899">
        <f t="shared" si="4"/>
        <v>4160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6889</v>
      </c>
      <c r="BD18" s="899">
        <f t="shared" si="4"/>
        <v>29459</v>
      </c>
      <c r="BE18" s="899">
        <f t="shared" si="4"/>
        <v>0</v>
      </c>
      <c r="BF18" s="899">
        <f t="shared" si="4"/>
        <v>0</v>
      </c>
      <c r="BG18" s="899">
        <f>IF(ISNUMBER(Datos!K18/Datos!J18),Datos!K18/Datos!J18," - ")</f>
        <v>1.063438498402556</v>
      </c>
      <c r="BH18" s="903">
        <f>IF(ISNUMBER(((Datos!L18/Datos!K18)*11)/factor_trimestre),((Datos!L18/Datos!K18)*11)/factor_trimestre," - ")</f>
        <v>2.3517471881630585</v>
      </c>
      <c r="BI18" s="899">
        <f>SUBTOTAL(9,BI15:BI17)</f>
        <v>0.15818733366058396</v>
      </c>
      <c r="BJ18" s="899">
        <f>SUBTOTAL(9,BJ15:BJ17)</f>
        <v>0</v>
      </c>
      <c r="BK18" s="899">
        <f>SUBTOTAL(9,BK15:BK17)</f>
        <v>0</v>
      </c>
      <c r="BL18" s="899">
        <f>IF(ISNUMBER((I18-AB18+L18)/(F18)),(I18-AB18+L18)/(F18)," - ")</f>
        <v>-1.2938389776978767</v>
      </c>
      <c r="BM18" s="905">
        <f>IF(ISNUMBER((Datos!P18-Datos!Q18)/(Datos!R18-Datos!P18+Datos!Q18)),(Datos!P18-Datos!Q18)/(Datos!R18-Datos!P18+Datos!Q18)," - ")</f>
        <v>-2.3932426091037073E-2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181</v>
      </c>
      <c r="F19" s="820">
        <f t="shared" si="6"/>
        <v>42164</v>
      </c>
      <c r="G19" s="820">
        <f t="shared" si="6"/>
        <v>44426</v>
      </c>
      <c r="H19" s="822">
        <f t="shared" si="6"/>
        <v>0</v>
      </c>
      <c r="I19" s="820">
        <f t="shared" si="6"/>
        <v>0</v>
      </c>
      <c r="J19" s="822">
        <f t="shared" si="6"/>
        <v>0</v>
      </c>
      <c r="K19" s="822">
        <f t="shared" si="6"/>
        <v>0</v>
      </c>
      <c r="L19" s="881">
        <f t="shared" si="6"/>
        <v>0</v>
      </c>
      <c r="M19" s="881">
        <f t="shared" si="6"/>
        <v>0</v>
      </c>
      <c r="N19" s="881">
        <f t="shared" si="6"/>
        <v>4570</v>
      </c>
      <c r="O19" s="881">
        <f t="shared" si="6"/>
        <v>0</v>
      </c>
      <c r="P19" s="881">
        <f t="shared" si="6"/>
        <v>0</v>
      </c>
      <c r="Q19" s="822">
        <f t="shared" si="6"/>
        <v>15704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53766</v>
      </c>
      <c r="AC19" s="821">
        <f t="shared" si="7"/>
        <v>12086</v>
      </c>
      <c r="AD19" s="821">
        <f t="shared" si="7"/>
        <v>0</v>
      </c>
      <c r="AE19" s="821">
        <f t="shared" si="7"/>
        <v>0</v>
      </c>
      <c r="AF19" s="828">
        <f t="shared" si="7"/>
        <v>42823</v>
      </c>
      <c r="AG19" s="828">
        <f t="shared" si="7"/>
        <v>0</v>
      </c>
      <c r="AH19" s="828">
        <f t="shared" si="7"/>
        <v>2588</v>
      </c>
      <c r="AI19" s="828">
        <f t="shared" si="7"/>
        <v>0</v>
      </c>
      <c r="AJ19" s="821">
        <f t="shared" si="7"/>
        <v>0</v>
      </c>
      <c r="AK19" s="828">
        <f t="shared" si="7"/>
        <v>0</v>
      </c>
      <c r="AL19" s="828">
        <f t="shared" si="7"/>
        <v>0</v>
      </c>
      <c r="AM19" s="828">
        <f t="shared" si="7"/>
        <v>161777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25914</v>
      </c>
      <c r="BD19" s="820">
        <f t="shared" si="7"/>
        <v>75108</v>
      </c>
      <c r="BE19" s="820">
        <f t="shared" si="7"/>
        <v>0</v>
      </c>
      <c r="BF19" s="830">
        <f t="shared" si="7"/>
        <v>0</v>
      </c>
      <c r="BG19" s="915">
        <f>IF(ISNUMBER(Datos!K19/Datos!J19),Datos!K19/Datos!J19," - ")</f>
        <v>0.87255025084109428</v>
      </c>
      <c r="BH19" s="915">
        <f>IF(ISNUMBER(((Datos!L19/Datos!K19)*11)/factor_trimestre),((Datos!L19/Datos!K19)*11)/factor_trimestre," - ")</f>
        <v>7.7651523759743659</v>
      </c>
      <c r="BI19" s="813">
        <f>IF(ISNUMBER(Datos!J19/Datos!I19),Datos!J19/Datos!I19," - ")</f>
        <v>0.4739217872894948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-1.2751636467128356</v>
      </c>
      <c r="BM19" s="889">
        <f>IF(ISNUMBER((Datos!P19-Datos!Q19+R19)/(Datos!R19-Datos!P19+Datos!Q19-R19)),(Datos!P19-Datos!Q19+R19)/(Datos!R19-Datos!P19+Datos!Q19-R19)," - ")</f>
        <v>2.2875713680536675E-2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17770.400000000001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42.946995755750415</v>
      </c>
      <c r="F21" s="551">
        <f>IF(ISNUMBER(STDEV(F8:F18)),STDEV(F8:F18),"-")</f>
        <v>23186.386810655371</v>
      </c>
      <c r="G21" s="552">
        <f>IF(ISNUMBER(STDEV(G8:G18)),STDEV(G8:G18),"-")</f>
        <v>21851.789144141036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26282.920667231789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7769.703254736738</v>
      </c>
      <c r="BD21" s="551"/>
      <c r="BE21" s="551">
        <f>IF(ISNUMBER(STDEV(BE8:BE18)),STDEV(BE8:BE18),"-")</f>
        <v>0</v>
      </c>
      <c r="BF21" s="556">
        <f>IF(ISNUMBER(STDEV(BF8:BF18)),STDEV(BF8:BF18),"-")</f>
        <v>0</v>
      </c>
      <c r="BG21" s="775">
        <f>IF(ISNUMBER(STDEV(BG8:BG18)),STDEV(BG8:BG18),"-")</f>
        <v>0.13449848786954877</v>
      </c>
      <c r="BH21" s="776">
        <f>IF(ISNUMBER(STDEV(BH8:BH18)),STDEV(BH8:BH18),"-")</f>
        <v>4.197870324600804</v>
      </c>
      <c r="BI21" s="249">
        <f>IF(ISNUMBER(STDEV(BI8:BI18)),STDEV(BI8:BI18),"-")</f>
        <v>8.9911129094085315E-2</v>
      </c>
      <c r="BJ21" s="230" t="str">
        <f>IF(ISNUMBER(BL21/BM21),BL21/BM21," - ")</f>
        <v xml:space="preserve"> - </v>
      </c>
      <c r="BK21" s="575"/>
      <c r="BL21" s="559">
        <f>IF(ISNUMBER(STDEV(BL8:BL18)),STDEV(BL8:BL18),"-")</f>
        <v>0.55568336117711925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fCQZyAjTpM80Td3m28jyWdkanLf2qjlthGEw+svDc6w20s7NY3+X9WWcCGzzlJK8oGZc7bfjYTxOWfRL/3zZg==" saltValue="KqpnPwRHoxYyux3jEBTQ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MADRID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91</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12465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8800</v>
      </c>
      <c r="AA9" s="332" t="str">
        <f>IF(ISNUMBER(IF(J_V="SI",Datos!L9,Datos!L9+Datos!AB9)-IF(Monitorios="SI",Datos!CD9,0)),
                          IF(J_V="SI",Datos!L9,Datos!L9+Datos!AB9)-IF(Monitorios="SI",Datos!CD9,0),
                          " - ")</f>
        <v xml:space="preserve"> - </v>
      </c>
      <c r="AB9" s="334"/>
      <c r="AC9" s="334"/>
      <c r="AD9" s="484"/>
      <c r="AE9" s="484">
        <f>IF(ISNUMBER(Datos!R9),Datos!R9," - ")</f>
        <v>151800</v>
      </c>
      <c r="AF9" s="229" t="str">
        <f>IF(ISNUMBER(Datos!BV9),Datos!BV9," - ")</f>
        <v xml:space="preserve"> - </v>
      </c>
      <c r="AG9" s="225" t="str">
        <f>IF(ISNUMBER(Datos!DV9),Datos!DV9," - ")</f>
        <v xml:space="preserve"> - </v>
      </c>
      <c r="AH9" s="298"/>
      <c r="AI9" s="227"/>
      <c r="AJ9" s="225">
        <f>IF(ISNUMBER(Datos!M9),Datos!M9," - ")</f>
        <v>16927</v>
      </c>
      <c r="AK9" s="229">
        <f>IF(ISNUMBER(Datos!N9),Datos!N9," - ")</f>
        <v>44075</v>
      </c>
      <c r="AL9" s="229" t="str">
        <f>IF(ISNUMBER(Datos!BW9),Datos!BW9," - ")</f>
        <v xml:space="preserve"> - </v>
      </c>
      <c r="AM9" s="228" t="str">
        <f>IF(ISNUMBER(Datos!BX9),Datos!BX9," - ")</f>
        <v xml:space="preserve"> - </v>
      </c>
      <c r="AN9" s="243"/>
      <c r="AO9" s="260">
        <f>IF(ISNUMBER(((NºAsuntos!I9/NºAsuntos!G9)*11)/factor_trimestre),((NºAsuntos!I9/NºAsuntos!G9)*11)/factor_trimestre," - ")</f>
        <v>11.303536583810534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2.4740945758936105E-2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11</v>
      </c>
      <c r="B10" s="507" t="s">
        <v>246</v>
      </c>
      <c r="C10" s="7" t="str">
        <f>Datos!A10</f>
        <v>Jdos. Violencia contra la mujer</v>
      </c>
      <c r="D10" s="508"/>
      <c r="E10" s="1168">
        <f>IF(ISNUMBER(Datos!AQ10),Datos!AQ10," - ")</f>
        <v>11</v>
      </c>
      <c r="F10" s="225">
        <f>IF(ISNUMBER(Datos!L10+Datos!K10-Datos!J10),Datos!L10+Datos!K10-Datos!J10," - ")</f>
        <v>1002</v>
      </c>
      <c r="G10" s="225">
        <f>IF(ISNUMBER(Datos!I10),Datos!I10," - ")</f>
        <v>1003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509</v>
      </c>
      <c r="Z10" s="619">
        <f>IF(ISNUMBER(Datos!Q10),Datos!Q10," - ")</f>
        <v>52</v>
      </c>
      <c r="AA10" s="332">
        <f>IF(ISNUMBER(Datos!L10),Datos!L10,"-")</f>
        <v>1074</v>
      </c>
      <c r="AB10" s="334"/>
      <c r="AC10" s="334"/>
      <c r="AD10" s="484"/>
      <c r="AE10" s="484">
        <f>IF(ISNUMBER(Datos!R10),Datos!R10," - ")</f>
        <v>1032</v>
      </c>
      <c r="AF10" s="229" t="str">
        <f>IF(ISNUMBER(Datos!BV10),Datos!BV10," - ")</f>
        <v xml:space="preserve"> - </v>
      </c>
      <c r="AG10" s="225" t="str">
        <f>IF(ISNUMBER(Datos!DV10),Datos!DV10," - ")</f>
        <v xml:space="preserve"> - </v>
      </c>
      <c r="AH10" s="298"/>
      <c r="AI10" s="227"/>
      <c r="AJ10" s="225">
        <f>IF(ISNUMBER(Datos!M10),Datos!M10," - ")</f>
        <v>188</v>
      </c>
      <c r="AK10" s="229">
        <f>IF(ISNUMBER(Datos!N10),Datos!N10," - ")</f>
        <v>225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6.3300589390962676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3.5105315947843531E-2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14</v>
      </c>
      <c r="B11" s="507" t="s">
        <v>246</v>
      </c>
      <c r="C11" s="7" t="str">
        <f>Datos!A11</f>
        <v xml:space="preserve">Jdos. Familia                                   </v>
      </c>
      <c r="D11" s="508"/>
      <c r="E11" s="1168">
        <f>IF(ISNUMBER(Datos!AQ11),Datos!AQ11," - ")</f>
        <v>14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580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560</v>
      </c>
      <c r="AA11" s="332" t="str">
        <f>IF(ISNUMBER(IF(J_V="SI",Datos!L11,Datos!L11+Datos!AB11)-IF(Monitorios="SI",Datos!CD11,0)),
                          IF(J_V="SI",Datos!L11,Datos!L11+Datos!AB11)-IF(Monitorios="SI",Datos!CD11,0),
                          " - ")</f>
        <v xml:space="preserve"> - </v>
      </c>
      <c r="AB11" s="334"/>
      <c r="AC11" s="334"/>
      <c r="AD11" s="484"/>
      <c r="AE11" s="484">
        <f>IF(ISNUMBER(Datos!R11),Datos!R11," - ")</f>
        <v>4785</v>
      </c>
      <c r="AF11" s="229" t="str">
        <f>IF(ISNUMBER(Datos!BV11),Datos!BV11," - ")</f>
        <v xml:space="preserve"> - </v>
      </c>
      <c r="AG11" s="225" t="str">
        <f>IF(ISNUMBER(Datos!DV11),Datos!DV11," - ")</f>
        <v xml:space="preserve"> - </v>
      </c>
      <c r="AH11" s="298"/>
      <c r="AI11" s="227"/>
      <c r="AJ11" s="225">
        <f>IF(ISNUMBER(Datos!M11),Datos!M11," - ")</f>
        <v>1910</v>
      </c>
      <c r="AK11" s="229">
        <f>IF(ISNUMBER(Datos!N11),Datos!N11," - ")</f>
        <v>1349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4.156925908881731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4.1972717733473244E-3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116</v>
      </c>
      <c r="F13" s="898">
        <f>SUBTOTAL(9,F8:F12)</f>
        <v>1002</v>
      </c>
      <c r="G13" s="898">
        <f>SUBTOTAL(9,G8:G12)</f>
        <v>1003</v>
      </c>
      <c r="H13" s="908"/>
      <c r="I13" s="898">
        <f t="shared" ref="I13:N13" si="0">SUBTOTAL(9,I8:I12)</f>
        <v>0</v>
      </c>
      <c r="J13" s="867">
        <f t="shared" si="0"/>
        <v>0</v>
      </c>
      <c r="K13" s="908">
        <f t="shared" si="0"/>
        <v>0</v>
      </c>
      <c r="L13" s="908">
        <f t="shared" si="0"/>
        <v>0</v>
      </c>
      <c r="M13" s="908">
        <f t="shared" si="0"/>
        <v>0</v>
      </c>
      <c r="N13" s="908">
        <f t="shared" si="0"/>
        <v>13132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509</v>
      </c>
      <c r="Z13" s="907">
        <f t="shared" si="2"/>
        <v>9412</v>
      </c>
      <c r="AA13" s="900">
        <f t="shared" si="2"/>
        <v>1074</v>
      </c>
      <c r="AB13" s="900">
        <f t="shared" si="2"/>
        <v>0</v>
      </c>
      <c r="AC13" s="900">
        <f t="shared" si="2"/>
        <v>0</v>
      </c>
      <c r="AD13" s="900">
        <f t="shared" si="2"/>
        <v>0</v>
      </c>
      <c r="AE13" s="900">
        <f t="shared" si="2"/>
        <v>157617</v>
      </c>
      <c r="AF13" s="908">
        <f t="shared" si="2"/>
        <v>0</v>
      </c>
      <c r="AG13" s="908">
        <f t="shared" si="2"/>
        <v>0</v>
      </c>
      <c r="AH13" s="908">
        <f t="shared" si="2"/>
        <v>0</v>
      </c>
      <c r="AI13" s="908">
        <f t="shared" si="2"/>
        <v>0</v>
      </c>
      <c r="AJ13" s="908">
        <f t="shared" si="2"/>
        <v>19025</v>
      </c>
      <c r="AK13" s="908">
        <f t="shared" si="2"/>
        <v>45649</v>
      </c>
      <c r="AL13" s="908">
        <f t="shared" si="2"/>
        <v>0</v>
      </c>
      <c r="AM13" s="908">
        <f t="shared" si="2"/>
        <v>0</v>
      </c>
      <c r="AN13" s="908">
        <f t="shared" si="2"/>
        <v>0</v>
      </c>
      <c r="AO13" s="904">
        <f>IF(ISNUMBER(((NºAsuntos!I13/NºAsuntos!G13)*11)/factor_trimestre),((NºAsuntos!I13/NºAsuntos!G13)*11)/factor_trimestre," - ")</f>
        <v>10.900112893927748</v>
      </c>
      <c r="AP13" s="910" t="str">
        <f>IF(ISNUMBER(Datos!CI13/Datos!CJ13),Datos!CI13/Datos!CJ13," - ")</f>
        <v xml:space="preserve"> - </v>
      </c>
      <c r="AQ13" s="928">
        <f t="shared" ref="AQ13:AV13" si="3">SUBTOTAL(9,AQ9:AQ12)</f>
        <v>0</v>
      </c>
      <c r="AR13" s="928">
        <f t="shared" si="3"/>
        <v>6.4043533480126952E-2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54</v>
      </c>
      <c r="B15" s="507" t="s">
        <v>396</v>
      </c>
      <c r="C15" s="160" t="str">
        <f>Datos!A15</f>
        <v xml:space="preserve">Jdos. Instrucción                               </v>
      </c>
      <c r="D15" s="502"/>
      <c r="E15" s="1168">
        <f>IF(ISNUMBER(Datos!AQ15),Datos!AQ15," - ")</f>
        <v>54</v>
      </c>
      <c r="F15" s="333">
        <f>IF(ISNUMBER(AA15+Y15-Datos!J15-K15),AA15+Y15-Datos!J15-K15," - ")</f>
        <v>41162</v>
      </c>
      <c r="G15" s="225">
        <f>IF(ISNUMBER(IF(D_I="SI",Datos!I15,Datos!I15+Datos!AC15)),IF(D_I="SI",Datos!I15,Datos!I15+Datos!AC15)," - ")</f>
        <v>39858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2548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46887</v>
      </c>
      <c r="Z15" s="619">
        <f>IF(ISNUMBER(Datos!Q15),Datos!Q15," - ")</f>
        <v>2664</v>
      </c>
      <c r="AA15" s="332">
        <f>IF(ISNUMBER(IF(D_I="SI",Datos!L15,Datos!L15+Datos!AF15)),IF(D_I="SI",Datos!L15,Datos!L15+Datos!AF15)," - ")</f>
        <v>38416</v>
      </c>
      <c r="AB15" s="334"/>
      <c r="AC15" s="334"/>
      <c r="AD15" s="484"/>
      <c r="AE15" s="484">
        <f>IF(ISNUMBER(Datos!R15),Datos!R15," - ")</f>
        <v>4127</v>
      </c>
      <c r="AF15" s="229" t="str">
        <f>IF(ISNUMBER(Datos!BV15),Datos!BV15," - ")</f>
        <v xml:space="preserve"> - </v>
      </c>
      <c r="AG15" s="225"/>
      <c r="AH15" s="298"/>
      <c r="AI15" s="227"/>
      <c r="AJ15" s="225">
        <f>IF(ISNUMBER(Datos!M15),Datos!M15," - ")</f>
        <v>6806</v>
      </c>
      <c r="AK15" s="229">
        <f>IF(ISNUMBER(Datos!N15),Datos!N15," - ")</f>
        <v>25058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2.4579947533431441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11</v>
      </c>
      <c r="B17" s="507" t="s">
        <v>396</v>
      </c>
      <c r="C17" s="7" t="str">
        <f>Datos!A17</f>
        <v>Jdos. Violencia contra la mujer</v>
      </c>
      <c r="D17" s="508"/>
      <c r="E17" s="1168">
        <f>IF(ISNUMBER(Datos!AQ17),Datos!AQ17," - ")</f>
        <v>11</v>
      </c>
      <c r="F17" s="225" t="str">
        <f>IF(ISNUMBER(AA17+Y17-I17-K17),AA17+Y17-I17-K17," - ")</f>
        <v xml:space="preserve"> - </v>
      </c>
      <c r="G17" s="523">
        <f>IF(ISNUMBER(IF(D_I="SI",Datos!I17,Datos!I17+Datos!AC17)),IF(D_I="SI",Datos!I17,Datos!I17+Datos!AC17)," - ")</f>
        <v>3565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6370</v>
      </c>
      <c r="Z17" s="619">
        <f>IF(ISNUMBER(Datos!Q17),Datos!Q17," - ")</f>
        <v>10</v>
      </c>
      <c r="AA17" s="332">
        <f>IF(ISNUMBER(Datos!L17),Datos!L17,"-")</f>
        <v>3333</v>
      </c>
      <c r="AB17" s="334"/>
      <c r="AC17" s="334"/>
      <c r="AD17" s="484"/>
      <c r="AE17" s="484">
        <f>IF(ISNUMBER(Datos!R17),Datos!R17," - ")</f>
        <v>33</v>
      </c>
      <c r="AF17" s="229" t="str">
        <f>IF(ISNUMBER(Datos!BV17),Datos!BV17," - ")</f>
        <v xml:space="preserve"> - </v>
      </c>
      <c r="AG17" s="225" t="str">
        <f>IF(ISNUMBER(Datos!DV17),Datos!DV17," - ")</f>
        <v xml:space="preserve"> - </v>
      </c>
      <c r="AH17" s="298"/>
      <c r="AI17" s="227"/>
      <c r="AJ17" s="225">
        <f>IF(ISNUMBER(Datos!M17),Datos!M17," - ")</f>
        <v>83</v>
      </c>
      <c r="AK17" s="229">
        <f>IF(ISNUMBER(Datos!N17),Datos!N17," - ")</f>
        <v>4401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1.5697017268445841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65</v>
      </c>
      <c r="F18" s="898">
        <f>SUBTOTAL(9,F15:F17)</f>
        <v>41162</v>
      </c>
      <c r="G18" s="898">
        <f>SUBTOTAL(9,G15:G17)</f>
        <v>43423</v>
      </c>
      <c r="H18" s="932">
        <f>SUBTOTAL(9,H15:H17)</f>
        <v>0</v>
      </c>
      <c r="I18" s="911">
        <f>SUBTOTAL(9,I15:I17)</f>
        <v>0</v>
      </c>
      <c r="J18" s="867">
        <f>SUBTOTAL(9,J14:J17)</f>
        <v>0</v>
      </c>
      <c r="K18" s="932">
        <f t="shared" ref="K18:S18" si="4">SUBTOTAL(9,K15:K17)</f>
        <v>0</v>
      </c>
      <c r="L18" s="932">
        <f t="shared" si="4"/>
        <v>0</v>
      </c>
      <c r="M18" s="932">
        <f t="shared" si="4"/>
        <v>0</v>
      </c>
      <c r="N18" s="932">
        <f t="shared" si="4"/>
        <v>2572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53257</v>
      </c>
      <c r="Z18" s="932">
        <f t="shared" si="5"/>
        <v>2674</v>
      </c>
      <c r="AA18" s="932">
        <f t="shared" si="5"/>
        <v>41749</v>
      </c>
      <c r="AB18" s="932">
        <f t="shared" si="5"/>
        <v>0</v>
      </c>
      <c r="AC18" s="932">
        <f t="shared" si="5"/>
        <v>0</v>
      </c>
      <c r="AD18" s="932">
        <f t="shared" si="5"/>
        <v>0</v>
      </c>
      <c r="AE18" s="932">
        <f t="shared" si="5"/>
        <v>4160</v>
      </c>
      <c r="AF18" s="932">
        <f t="shared" si="5"/>
        <v>0</v>
      </c>
      <c r="AG18" s="932">
        <f t="shared" si="5"/>
        <v>0</v>
      </c>
      <c r="AH18" s="932">
        <f t="shared" si="5"/>
        <v>0</v>
      </c>
      <c r="AI18" s="932">
        <f t="shared" si="5"/>
        <v>0</v>
      </c>
      <c r="AJ18" s="932">
        <f t="shared" si="5"/>
        <v>6889</v>
      </c>
      <c r="AK18" s="932">
        <f t="shared" si="5"/>
        <v>29459</v>
      </c>
      <c r="AL18" s="932">
        <f t="shared" si="5"/>
        <v>0</v>
      </c>
      <c r="AM18" s="932">
        <f t="shared" si="5"/>
        <v>0</v>
      </c>
      <c r="AN18" s="932">
        <f t="shared" si="5"/>
        <v>0</v>
      </c>
      <c r="AO18" s="934">
        <f>IF(ISNUMBER(((NºAsuntos!I18/NºAsuntos!G18)*11)/factor_trimestre),((NºAsuntos!I18/NºAsuntos!G18)*11)/factor_trimestre," - ")</f>
        <v>2.3517471881630585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181</v>
      </c>
      <c r="F19" s="820">
        <f t="shared" si="7"/>
        <v>42164</v>
      </c>
      <c r="G19" s="820">
        <f t="shared" si="7"/>
        <v>44426</v>
      </c>
      <c r="H19" s="821">
        <f t="shared" si="7"/>
        <v>0</v>
      </c>
      <c r="I19" s="820">
        <f t="shared" si="7"/>
        <v>0</v>
      </c>
      <c r="J19" s="822">
        <f t="shared" si="7"/>
        <v>0</v>
      </c>
      <c r="K19" s="820">
        <f t="shared" si="7"/>
        <v>0</v>
      </c>
      <c r="L19" s="823">
        <f t="shared" si="7"/>
        <v>0</v>
      </c>
      <c r="M19" s="820">
        <f t="shared" si="7"/>
        <v>0</v>
      </c>
      <c r="N19" s="821">
        <f t="shared" si="7"/>
        <v>15704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53766</v>
      </c>
      <c r="Z19" s="827">
        <f t="shared" si="8"/>
        <v>12086</v>
      </c>
      <c r="AA19" s="828">
        <f t="shared" si="8"/>
        <v>42823</v>
      </c>
      <c r="AB19" s="828">
        <f t="shared" si="8"/>
        <v>0</v>
      </c>
      <c r="AC19" s="828">
        <f t="shared" si="8"/>
        <v>0</v>
      </c>
      <c r="AD19" s="829">
        <f t="shared" si="8"/>
        <v>0</v>
      </c>
      <c r="AE19" s="829">
        <f t="shared" si="8"/>
        <v>161777</v>
      </c>
      <c r="AF19" s="830">
        <f t="shared" si="8"/>
        <v>0</v>
      </c>
      <c r="AG19" s="831">
        <f t="shared" si="8"/>
        <v>0</v>
      </c>
      <c r="AH19" s="832">
        <f t="shared" si="8"/>
        <v>0</v>
      </c>
      <c r="AI19" s="830">
        <f t="shared" si="8"/>
        <v>0</v>
      </c>
      <c r="AJ19" s="820">
        <f t="shared" si="8"/>
        <v>25914</v>
      </c>
      <c r="AK19" s="820">
        <f t="shared" si="8"/>
        <v>75108</v>
      </c>
      <c r="AL19" s="820">
        <f t="shared" si="8"/>
        <v>0</v>
      </c>
      <c r="AM19" s="833">
        <f t="shared" si="8"/>
        <v>0</v>
      </c>
      <c r="AN19" s="823">
        <f>IF(ISNUMBER(Datos!K19/Datos!J19),Datos!K19/Datos!J19," - ")</f>
        <v>0.87255025084109428</v>
      </c>
      <c r="AO19" s="823">
        <f>IF(ISNUMBER(FIND("06",Criterios!A8,1)),(IF(ISNUMBER(((Datos!R19/Datos!Q19)*11)/factor_trimestre),((Datos!R19/Datos!Q19)*11)/factor_trimestre," - ")),(IF(ISNUMBER(((Datos!L19/Datos!K19)*11)/factor_trimestre),((Datos!L19/Datos!K19)*11)/factor_trimestre," - ")))</f>
        <v>7.7651523759743659</v>
      </c>
      <c r="AP19" s="834" t="str">
        <f>IF(ISNUMBER(Datos!CI19/Datos!CJ19),Datos!CI19/Datos!CJ19," - ")</f>
        <v xml:space="preserve"> - </v>
      </c>
      <c r="AQ19" s="834">
        <f>IF(OR(ISNUMBER(FIND("01",Criterios!A8,1)),ISNUMBER(FIND("02",Criterios!A8,1)),ISNUMBER(FIND("03",Criterios!A8,1)),ISNUMBER(FIND("04",Criterios!A8,1))),(J19-Y19+K19)/(F19-K19),(I19-Y19+K19)/(F19-K19))</f>
        <v>-1.2751636467128356</v>
      </c>
      <c r="AR19" s="834">
        <f>IF(ISNUMBER((Datos!P19-Datos!Q19+O19)/(Datos!R19-Datos!P19+Datos!Q19-O19)),(Datos!P19-Datos!Q19+O19)/(Datos!R19-Datos!P19+Datos!Q19-O19)," - ")</f>
        <v>2.2875713680536675E-2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17770.400000000001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23186.386810655371</v>
      </c>
      <c r="G21" s="552">
        <f>IF(ISNUMBER(STDEV(G8:G18)),STDEV(G8:G18),"-")</f>
        <v>21851.789144141036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7769.703254736738</v>
      </c>
      <c r="AK21" s="252"/>
      <c r="AL21" s="252">
        <f>IF(ISNUMBER(STDEV(AL8:AL18)),STDEV(AL8:AL18),"-")</f>
        <v>0</v>
      </c>
      <c r="AM21" s="254">
        <f>IF(ISNUMBER(STDEV(AM8:AM18)),STDEV(AM8:AM18),"-")</f>
        <v>0</v>
      </c>
      <c r="AN21" s="539">
        <f>IF(ISNUMBER(STDEV(AN8:AN18)),STDEV(AN8:AN18),"-")</f>
        <v>0</v>
      </c>
      <c r="AO21" s="540">
        <f>IF(ISNUMBER(STDEV(AO8:AO18)),STDEV(AO8:AO18),"-")</f>
        <v>4.0804658888175176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4UhX+ywwISefADb/xaaw1sPX8e4uKGimCvWHm39ncDiUt56NPz0j2IxJGUo2TMWCIMdVznqhK0FjHwx814KkJA==" saltValue="BAj8ZiL8FFuUb24pw87Y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HWn9uuteSoKGdA0OfLOqu2lLchcoSwHiR57gQfo8Bqio8vw9PhUV/+VEX3LiCScLo+ubuR87iFVem4ByGD8dQ==" saltValue="JexzvVyvXfGURBSz2A9q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gp5zANtuPWeLviZqbpepXRSKla8b7sKeGnD7KuOYf7XN464QJ3b0gMPQUFKOMT7w0jLOhOe2guAhSCTnGMIA==" saltValue="O3yV1S3h4SmmaK6MzXaT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MADRID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0.22849010376633358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0.16156690180719238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0pJtrqiEhSRD7MIpjxXNH/qXb/10U52SdRjRdN43n97lj2YOaWeGStulTzLy5/jZ6oIgHTA4FJiEHmjsSwtRRg==" saltValue="Z3QhZdpAJgrvXk74Y//qT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JMfF1lSBJMHX/dkM6vr494lVbgvtXmNah8m22A+aRt0Ob6iTsGXMkatRHpaGN/Tiqck0swC41275vp73mVSEg==" saltValue="QP6PET+XAuq/iZvX2YzA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MADRID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91</v>
      </c>
      <c r="B9" s="501" t="s">
        <v>246</v>
      </c>
      <c r="C9" s="160" t="str">
        <f>Datos!A9</f>
        <v xml:space="preserve">Jdos. 1ª Instancia   </v>
      </c>
      <c r="D9" s="502"/>
      <c r="E9" s="682">
        <f>IF(ISNUMBER(Datos!AQ9),Datos!AQ9," - ")</f>
        <v>91</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11</v>
      </c>
      <c r="B10" s="507" t="s">
        <v>246</v>
      </c>
      <c r="C10" s="7" t="str">
        <f>Datos!A10</f>
        <v>Jdos. Violencia contra la mujer</v>
      </c>
      <c r="D10" s="508"/>
      <c r="E10" s="682">
        <f>IF(ISNUMBER(Datos!AQ10),Datos!AQ10," - ")</f>
        <v>11</v>
      </c>
      <c r="F10" s="683">
        <f>IF(ISNUMBER(Datos!L10+Datos!K10-Datos!J10),Datos!L10+Datos!K10-Datos!J10," - ")</f>
        <v>1002</v>
      </c>
      <c r="G10" s="684">
        <f>IF(ISNUMBER(Datos!I10),Datos!I10," - ")</f>
        <v>1003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509</v>
      </c>
      <c r="AC10" s="683" t="str">
        <f>IF(ISNUMBER(IF(D_I="SI",DatosP!K17,DatosP!K17+DatosP!AE17)),IF(D_I="SI",DatosP!K17,DatosP!K17+DatosP!AE17)," - ")</f>
        <v xml:space="preserve"> - </v>
      </c>
      <c r="AD10" s="685"/>
      <c r="AE10" s="685"/>
      <c r="AF10" s="688">
        <f>IF(ISNUMBER(Datos!L10),Datos!L10,"-")</f>
        <v>1074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188</v>
      </c>
      <c r="AM10" s="690">
        <f>IF(ISNUMBER(Datos!N10+DatosP!N17),Datos!N10+DatosP!N17," - ")</f>
        <v>225</v>
      </c>
      <c r="AN10" s="690">
        <f>IF(ISNUMBER(Datos!BW10+DatosP!BW17),Datos!BW10+DatosP!BW17," - ")</f>
        <v>0</v>
      </c>
      <c r="AO10" s="691">
        <f>IF(ISNUMBER(Datos!BX10+DatosP!BX17),Datos!BX10+DatosP!BX17," - ")</f>
        <v>0</v>
      </c>
      <c r="AP10" s="693">
        <f>IF(ISNUMBER(((Datos!L10/Datos!K10)*11)/factor_trimestre),((Datos!L10/Datos!K10)*11)/factor_trimestre," - ")</f>
        <v>6.3300589390962676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14</v>
      </c>
      <c r="B11" s="507" t="s">
        <v>246</v>
      </c>
      <c r="C11" s="7" t="str">
        <f>Datos!A11</f>
        <v xml:space="preserve">Jdos. Familia                                   </v>
      </c>
      <c r="D11" s="508"/>
      <c r="E11" s="682">
        <f>IF(ISNUMBER(Datos!AQ11),Datos!AQ11," - ")</f>
        <v>14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116</v>
      </c>
      <c r="F13" s="938">
        <f t="shared" si="0"/>
        <v>1002</v>
      </c>
      <c r="G13" s="938">
        <f t="shared" si="0"/>
        <v>1003</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509</v>
      </c>
      <c r="AC13" s="939">
        <f t="shared" si="1"/>
        <v>0</v>
      </c>
      <c r="AD13" s="939">
        <f t="shared" si="1"/>
        <v>0</v>
      </c>
      <c r="AE13" s="939">
        <f t="shared" si="1"/>
        <v>0</v>
      </c>
      <c r="AF13" s="939">
        <f t="shared" si="1"/>
        <v>1074</v>
      </c>
      <c r="AG13" s="939">
        <f t="shared" si="1"/>
        <v>0</v>
      </c>
      <c r="AH13" s="939">
        <f t="shared" si="1"/>
        <v>0</v>
      </c>
      <c r="AI13" s="939">
        <f t="shared" si="1"/>
        <v>0</v>
      </c>
      <c r="AJ13" s="939">
        <f t="shared" si="1"/>
        <v>0</v>
      </c>
      <c r="AK13" s="939">
        <f t="shared" si="1"/>
        <v>0</v>
      </c>
      <c r="AL13" s="939">
        <f t="shared" si="1"/>
        <v>188</v>
      </c>
      <c r="AM13" s="939">
        <f t="shared" si="1"/>
        <v>225</v>
      </c>
      <c r="AN13" s="939">
        <f t="shared" si="1"/>
        <v>0</v>
      </c>
      <c r="AO13" s="939">
        <f t="shared" si="1"/>
        <v>0</v>
      </c>
      <c r="AP13" s="944">
        <f>IF(ISNUMBER(((Datos!L13/Datos!K13)*11)/factor_trimestre),((Datos!L13/Datos!K13)*11)/factor_trimestre," - ")</f>
        <v>11.426033624542869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-0.50798403193612773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2.3517471881630585</v>
      </c>
      <c r="AQ18" s="944">
        <f>IF(ISNUMBER(((Datos!M18/Datos!L18)*11)/factor_trimestre),((Datos!M18/Datos!L18)*11)/factor_trimestre," - ")</f>
        <v>0.49502982107355864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-2.3932426091037073E-2</v>
      </c>
      <c r="AW18" s="946">
        <f>IF(ISNUMBER((Datos!Q18-Datos!R18)/(Datos!S18-Datos!Q18+Datos!R18)),(Datos!Q18-Datos!R18)/(Datos!S18-Datos!Q18+Datos!R18)," - ")</f>
        <v>-3.678126779040123E-2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116</v>
      </c>
      <c r="F19" s="951">
        <f t="shared" si="4"/>
        <v>1002</v>
      </c>
      <c r="G19" s="951">
        <f t="shared" si="4"/>
        <v>1003</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509</v>
      </c>
      <c r="AC19" s="957">
        <f t="shared" si="5"/>
        <v>0</v>
      </c>
      <c r="AD19" s="957">
        <f t="shared" si="5"/>
        <v>0</v>
      </c>
      <c r="AE19" s="957">
        <f t="shared" si="5"/>
        <v>0</v>
      </c>
      <c r="AF19" s="958">
        <f t="shared" si="5"/>
        <v>1074</v>
      </c>
      <c r="AG19" s="958">
        <f t="shared" si="5"/>
        <v>0</v>
      </c>
      <c r="AH19" s="958">
        <f t="shared" si="5"/>
        <v>0</v>
      </c>
      <c r="AI19" s="958">
        <f t="shared" si="5"/>
        <v>0</v>
      </c>
      <c r="AJ19" s="959">
        <f t="shared" si="5"/>
        <v>0</v>
      </c>
      <c r="AK19" s="959">
        <f t="shared" si="5"/>
        <v>0</v>
      </c>
      <c r="AL19" s="951">
        <f t="shared" si="5"/>
        <v>188</v>
      </c>
      <c r="AM19" s="951">
        <f t="shared" si="5"/>
        <v>225</v>
      </c>
      <c r="AN19" s="951">
        <f t="shared" si="5"/>
        <v>0</v>
      </c>
      <c r="AO19" s="951">
        <f t="shared" si="5"/>
        <v>0</v>
      </c>
      <c r="AP19" s="951">
        <f>IF(ISNUMBER(((Datos!L19/Datos!K19)*11)/factor_trimestre),((Datos!L19/Datos!K19)*11)/factor_trimestre," - ")</f>
        <v>7.7651523759743659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-0.50798403193612773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2.2875713680536675E-2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668.66666666666663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51.153364177409358</v>
      </c>
      <c r="F21" s="736">
        <f>IF(ISNUMBER(STDEV(F8:F18)),STDEV(F8:F18),"-")</f>
        <v>578.50496972800499</v>
      </c>
      <c r="G21" s="737">
        <f>IF(ISNUMBER(STDEV(G8:G18)),STDEV(G8:G18),"-")</f>
        <v>579.08231999719465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293.87128701751953</v>
      </c>
      <c r="AC21" s="738">
        <f>IF(ISNUMBER(STDEV(AC8:AC18)),STDEV(AC8:AC18),"-")</f>
        <v>0</v>
      </c>
      <c r="AD21" s="741"/>
      <c r="AE21" s="741"/>
      <c r="AF21" s="741"/>
      <c r="AG21" s="741"/>
      <c r="AH21" s="741"/>
      <c r="AI21" s="741"/>
      <c r="AJ21" s="742">
        <f>IF(ISNUMBER(STDEV(AJ8:AJ18)),STDEV(AJ8:AJ18),"-")</f>
        <v>0</v>
      </c>
      <c r="AK21" s="744"/>
      <c r="AL21" s="736">
        <f>IF(ISNUMBER(STDEV(AL8:AL18)),STDEV(AL8:AL18),"-")</f>
        <v>108.54185060764964</v>
      </c>
      <c r="AM21" s="736"/>
      <c r="AN21" s="736">
        <f>IF(ISNUMBER(STDEV(AN8:AN18)),STDEV(AN8:AN18),"-")</f>
        <v>0</v>
      </c>
      <c r="AO21" s="742">
        <f>IF(ISNUMBER(STDEV(AO8:AO18)),STDEV(AO8:AO18),"-")</f>
        <v>0</v>
      </c>
      <c r="AP21" s="779">
        <f>IF(ISNUMBER(STDEV(AP8:AP18)),STDEV(AP8:AP18),"-")</f>
        <v>4.5486004571331682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DUdi1Msiwcs2HUD0XyUiPzLEbVqdhDJJyCzjfTPFrtU0sl/EuoutITXSnTKivFmZDN0EX8QID4klt6KamS0LUQ==" saltValue="jMmRjAq1j2sFNZxwRzmF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